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onelisp\Downloads\hcc\sappi\"/>
    </mc:Choice>
  </mc:AlternateContent>
  <xr:revisionPtr revIDLastSave="0" documentId="8_{093AEADF-021A-408C-8698-EBABBCE97A49}" xr6:coauthVersionLast="47" xr6:coauthVersionMax="47" xr10:uidLastSave="{00000000-0000-0000-0000-000000000000}"/>
  <bookViews>
    <workbookView showHorizontalScroll="0" showVerticalScroll="0" showSheetTabs="0" xWindow="-28920" yWindow="-120" windowWidth="29040" windowHeight="15720" firstSheet="2" activeTab="2" xr2:uid="{00000000-000D-0000-FFFF-FFFF00000000}"/>
  </bookViews>
  <sheets>
    <sheet name="Conts" sheetId="5" state="hidden" r:id="rId1"/>
    <sheet name="Quote" sheetId="3" state="hidden" r:id="rId2"/>
    <sheet name="Calculation Sheet" sheetId="1" r:id="rId3"/>
    <sheet name="Input grid" sheetId="7" r:id="rId4"/>
    <sheet name="Sheet1" sheetId="6" state="hidden" r:id="rId5"/>
  </sheets>
  <externalReferences>
    <externalReference r:id="rId6"/>
  </externalReferences>
  <definedNames>
    <definedName name="_1FilterDatab" hidden="1">[1]PENMED!#REF!</definedName>
    <definedName name="_xlnm._FilterDatabase" localSheetId="3" hidden="1">'Input grid'!$AK$3:$AM$26</definedName>
    <definedName name="_xlnm._FilterDatabase" hidden="1">#REF!</definedName>
    <definedName name="Adults">'Calculation Sheet'!$J$17</definedName>
    <definedName name="AllIncomes">'Calculation Sheet'!$V$2</definedName>
    <definedName name="Beat1Network">Conts!$G$11:$J$15</definedName>
    <definedName name="Beat1NonNetwork">Conts!$L$2:$O$8</definedName>
    <definedName name="Beat2Network">Conts!$AA$2:$AD$6</definedName>
    <definedName name="Beat2NonNetwork">Conts!$Q$2:$T$8</definedName>
    <definedName name="Beat3Network">Conts!$L$11:$O$15</definedName>
    <definedName name="Beat3NonNetwork">Conts!$AF$11:$AI$15</definedName>
    <definedName name="Beat3Plus">Conts!$G$2:$J$6</definedName>
    <definedName name="Beat4NonNetwork">Conts!$AF$2:$AI$6</definedName>
    <definedName name="Benchmark_100">Quote!#REF!</definedName>
    <definedName name="Benchmark_50">Quote!#REF!</definedName>
    <definedName name="Child_no_sub">'Calculation Sheet'!#REF!</definedName>
    <definedName name="Children">'Calculation Sheet'!$J$19</definedName>
    <definedName name="HealthProd">'Calculation Sheet'!$J$41</definedName>
    <definedName name="LifeProd">'Calculation Sheet'!$J$13</definedName>
    <definedName name="MonthlyIncome">'Calculation Sheet'!$J$11</definedName>
    <definedName name="Option">'Calculation Sheet'!$J$7</definedName>
    <definedName name="Option06">'Calculation Sheet'!$F$7</definedName>
    <definedName name="Pace1">Conts!$AA$11:$AD$15</definedName>
    <definedName name="Pace2">Conts!$V$11:$Y$15</definedName>
    <definedName name="Pace3">Conts!$B$2:$E$8</definedName>
    <definedName name="Pace4">Conts!$Q$11:$T$15</definedName>
    <definedName name="Primary">Conts!$G$11:$J$15</definedName>
    <definedName name="_xlnm.Print_Area" localSheetId="2">'Calculation Sheet'!$B$2:$M$43</definedName>
    <definedName name="Pulse1">Conts!$G$2:$J$9</definedName>
    <definedName name="Pulse2">Conts!$G$19:$J$24</definedName>
    <definedName name="RealityClub">Conts!$B$33:$C$34</definedName>
    <definedName name="RealityCore">Conts!$G$33:$H$34</definedName>
    <definedName name="RealityHealth">Conts!$L$33:$M$34</definedName>
    <definedName name="Rhythm1">Conts!$V$2:$Y$8</definedName>
    <definedName name="Rhythm2">Conts!$V$19:$Y$24</definedName>
    <definedName name="Savings1">Quote!$B$8:$Y$10</definedName>
    <definedName name="Savings2">Quote!$B$8:$V$12</definedName>
    <definedName name="Savings3">Quote!$B$8:$V$14</definedName>
    <definedName name="Savings4">Quote!$B$8:$X$17</definedName>
    <definedName name="SavingsLevel">'Calculation Sheet'!#REF!</definedName>
    <definedName name="SmartPlan">Conts!$AF$19:$AI$24</definedName>
    <definedName name="Spouse">'Calculation Sheet'!$J$15</definedName>
    <definedName name="Standard">Conts!$AA$2:$AD$6</definedName>
    <definedName name="StandardSelect">Conts!$AF$2:$AI$6</definedName>
    <definedName name="Students">'Calculation Sheet'!#REF!</definedName>
    <definedName name="Threshold">Conts!$G$26:$J$30</definedName>
    <definedName name="Threshold_Exec">Conts!$AA$19:$AD$24</definedName>
    <definedName name="Threshold_P">Conts!$L$26:$O$30</definedName>
    <definedName name="Threshold_P_ATB">Conts!$Q$26:$T$30</definedName>
    <definedName name="TotalCore">Quote!$B$3:$V$5</definedName>
    <definedName name="Vitality">Conts!$B$33:$C$34</definedName>
    <definedName name="Vitality_KeyClub">Conts!$L$33:$M$34</definedName>
  </definedNames>
  <calcPr calcId="191029" iterate="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1" i="7" l="1"/>
  <c r="Z11" i="7"/>
  <c r="AM15" i="7" l="1"/>
  <c r="AM14" i="7"/>
  <c r="AM13" i="7"/>
  <c r="AM12" i="7"/>
  <c r="AM11" i="7"/>
  <c r="AM10" i="7"/>
  <c r="AM8" i="7"/>
  <c r="AM17" i="7"/>
  <c r="AM16" i="7"/>
  <c r="AM5" i="7"/>
  <c r="AM6" i="7"/>
  <c r="AM7" i="7"/>
  <c r="AM9" i="7"/>
  <c r="AM18" i="7"/>
  <c r="AM19" i="7"/>
  <c r="AM20" i="7"/>
  <c r="AM21" i="7"/>
  <c r="AM4" i="7"/>
  <c r="AL17" i="7"/>
  <c r="AL16" i="7"/>
  <c r="AL22" i="7"/>
  <c r="AL15" i="7"/>
  <c r="AL14" i="7"/>
  <c r="AL13" i="7"/>
  <c r="AL12" i="7"/>
  <c r="AL11" i="7"/>
  <c r="AL10" i="7"/>
  <c r="AL8" i="7"/>
  <c r="AL21" i="7"/>
  <c r="AL20" i="7"/>
  <c r="AL19" i="7"/>
  <c r="AL18" i="7"/>
  <c r="AL9" i="7"/>
  <c r="AL7" i="7"/>
  <c r="AL6" i="7"/>
  <c r="AL5" i="7"/>
  <c r="AL4" i="7"/>
  <c r="AA11" i="7"/>
  <c r="V5" i="7"/>
  <c r="V6" i="7"/>
  <c r="V7" i="7"/>
  <c r="V8" i="7"/>
  <c r="V9" i="7"/>
  <c r="V10" i="7"/>
  <c r="V11" i="7"/>
  <c r="V12" i="7"/>
  <c r="V13" i="7"/>
  <c r="V14" i="7"/>
  <c r="V15" i="7"/>
  <c r="V16" i="7"/>
  <c r="V17" i="7"/>
  <c r="V18" i="7"/>
  <c r="V19" i="7"/>
  <c r="V20" i="7"/>
  <c r="V21" i="7"/>
  <c r="V4" i="7"/>
  <c r="U5" i="7"/>
  <c r="U6" i="7"/>
  <c r="U7" i="7"/>
  <c r="U8" i="7"/>
  <c r="U9" i="7"/>
  <c r="U10" i="7"/>
  <c r="U11" i="7"/>
  <c r="U12" i="7"/>
  <c r="U13" i="7"/>
  <c r="U14" i="7"/>
  <c r="U15" i="7"/>
  <c r="U16" i="7"/>
  <c r="U17" i="7"/>
  <c r="U18" i="7"/>
  <c r="U19" i="7"/>
  <c r="U20" i="7"/>
  <c r="U21" i="7"/>
  <c r="U4" i="7"/>
  <c r="AB7" i="7" l="1"/>
  <c r="AB8" i="7"/>
  <c r="AB9" i="7"/>
  <c r="AB10" i="7"/>
  <c r="AB6" i="7"/>
  <c r="A11" i="7" l="1"/>
  <c r="C11" i="7" s="1"/>
  <c r="A8" i="7"/>
  <c r="C8" i="7" s="1"/>
  <c r="A6" i="7"/>
  <c r="C6" i="7" s="1"/>
  <c r="A4" i="7"/>
  <c r="C4" i="7" s="1"/>
  <c r="C5" i="7"/>
  <c r="C7" i="7"/>
  <c r="C9" i="7"/>
  <c r="C10" i="7"/>
  <c r="C12" i="7"/>
  <c r="C13" i="7"/>
  <c r="C14" i="7"/>
  <c r="C15" i="7"/>
  <c r="C16" i="7"/>
  <c r="C19" i="7"/>
  <c r="AN15" i="7"/>
  <c r="AK22" i="7"/>
  <c r="AK15" i="7"/>
  <c r="AK14" i="7"/>
  <c r="AK13" i="7"/>
  <c r="AK12" i="7"/>
  <c r="AK11" i="7"/>
  <c r="AK10" i="7"/>
  <c r="AK8" i="7"/>
  <c r="AN9" i="7"/>
  <c r="AK21" i="7"/>
  <c r="AK20" i="7"/>
  <c r="AK19" i="7"/>
  <c r="AK18" i="7"/>
  <c r="AK9" i="7"/>
  <c r="AK7" i="7"/>
  <c r="AK6" i="7"/>
  <c r="AK5" i="7"/>
  <c r="AK4" i="7"/>
  <c r="AK17" i="7"/>
  <c r="AK16" i="7"/>
  <c r="AN19" i="7" l="1"/>
  <c r="AN4" i="7"/>
  <c r="AN21" i="7"/>
  <c r="AN8" i="7"/>
  <c r="AN11" i="7"/>
  <c r="AN16" i="7"/>
  <c r="AN7" i="7"/>
  <c r="AN18" i="7"/>
  <c r="AN20" i="7"/>
  <c r="AN17" i="7"/>
  <c r="AN10" i="7"/>
  <c r="AN12" i="7"/>
  <c r="AN13" i="7"/>
  <c r="AN5" i="7"/>
  <c r="AN6" i="7"/>
  <c r="A20" i="7" l="1"/>
  <c r="A17" i="7"/>
  <c r="AI3" i="7"/>
  <c r="P2" i="1"/>
  <c r="J40" i="1" s="1"/>
  <c r="AA5" i="7"/>
  <c r="AA16" i="7"/>
  <c r="AA17" i="7"/>
  <c r="AA18" i="7"/>
  <c r="AA19" i="7"/>
  <c r="AA20" i="7"/>
  <c r="AA21" i="7"/>
  <c r="AA4" i="7"/>
  <c r="Q5" i="7"/>
  <c r="R5" i="7" s="1"/>
  <c r="Q16" i="7"/>
  <c r="R16" i="7" s="1"/>
  <c r="Q17" i="7"/>
  <c r="R17" i="7" s="1"/>
  <c r="Q18" i="7"/>
  <c r="R18" i="7" s="1"/>
  <c r="Q19" i="7"/>
  <c r="R19" i="7" s="1"/>
  <c r="Q20" i="7"/>
  <c r="R20" i="7" s="1"/>
  <c r="Q21" i="7"/>
  <c r="R21" i="7" s="1"/>
  <c r="Q4" i="7"/>
  <c r="R4" i="7" s="1"/>
  <c r="A18" i="7" l="1"/>
  <c r="C18" i="7" s="1"/>
  <c r="C17" i="7"/>
  <c r="A21" i="7"/>
  <c r="C21" i="7" s="1"/>
  <c r="C20" i="7"/>
  <c r="AB20" i="7"/>
  <c r="AB16" i="7"/>
  <c r="AB4" i="7"/>
  <c r="AB19" i="7"/>
  <c r="AB18" i="7"/>
  <c r="AB17" i="7"/>
  <c r="AB5" i="7"/>
  <c r="AB21" i="7"/>
  <c r="Y15" i="7" l="1"/>
  <c r="AA15" i="7" s="1"/>
  <c r="Y14" i="7"/>
  <c r="AA14" i="7" s="1"/>
  <c r="Y13" i="7"/>
  <c r="AA13" i="7" s="1"/>
  <c r="Z12" i="7"/>
  <c r="Y12" i="7"/>
  <c r="AA12" i="7" s="1"/>
  <c r="Z14" i="7" l="1"/>
  <c r="Z13" i="7"/>
  <c r="Z15" i="7"/>
  <c r="D22" i="7" l="1"/>
  <c r="E22" i="7" s="1"/>
  <c r="F22" i="7" s="1"/>
  <c r="G22" i="7" s="1"/>
  <c r="H22" i="7" s="1"/>
  <c r="I22" i="7" s="1"/>
  <c r="J22" i="7" s="1"/>
  <c r="K22" i="7" s="1"/>
  <c r="L22" i="7" s="1"/>
  <c r="M22" i="7" s="1"/>
  <c r="N22" i="7" s="1"/>
  <c r="O22" i="7" s="1"/>
  <c r="P22" i="7" s="1"/>
  <c r="Q22" i="7" s="1"/>
  <c r="R22" i="7" s="1"/>
  <c r="S22" i="7" s="1"/>
  <c r="T22" i="7" s="1"/>
  <c r="U22" i="7" s="1"/>
  <c r="V22" i="7" s="1"/>
  <c r="W22" i="7" s="1"/>
  <c r="X22" i="7" s="1"/>
  <c r="Y22" i="7" s="1"/>
  <c r="Z22" i="7" s="1"/>
  <c r="AA22" i="7" s="1"/>
  <c r="AB22" i="7" s="1"/>
  <c r="AC22" i="7" s="1"/>
  <c r="AD22" i="7" s="1"/>
  <c r="AE22" i="7" s="1"/>
  <c r="AF22" i="7" s="1"/>
  <c r="AG22" i="7" s="1"/>
  <c r="AM22" i="7" s="1"/>
  <c r="AF21" i="7"/>
  <c r="AF20" i="7"/>
  <c r="AF19" i="7"/>
  <c r="AF18" i="7"/>
  <c r="AF17" i="7"/>
  <c r="AF16" i="7"/>
  <c r="AF15" i="7"/>
  <c r="AF14" i="7"/>
  <c r="AF13" i="7"/>
  <c r="AF12" i="7"/>
  <c r="AF11" i="7"/>
  <c r="AF10" i="7"/>
  <c r="AF9" i="7"/>
  <c r="AF8" i="7"/>
  <c r="AF7" i="7"/>
  <c r="AF6" i="7"/>
  <c r="AF5" i="7"/>
  <c r="AF4" i="7"/>
  <c r="AN14" i="7" l="1"/>
  <c r="AN22" i="7"/>
  <c r="J34" i="1"/>
  <c r="AI4" i="7"/>
  <c r="Q13" i="7" l="1"/>
  <c r="R13" i="7" s="1"/>
  <c r="AB13" i="7" s="1"/>
  <c r="Q14" i="7"/>
  <c r="R14" i="7" s="1"/>
  <c r="AB14" i="7" s="1"/>
  <c r="Q12" i="7"/>
  <c r="Q7" i="7"/>
  <c r="R7" i="7" s="1"/>
  <c r="Q15" i="7"/>
  <c r="R15" i="7" s="1"/>
  <c r="AB15" i="7" s="1"/>
  <c r="Q11" i="7"/>
  <c r="R11" i="7" s="1"/>
  <c r="Q8" i="7"/>
  <c r="R8" i="7" s="1"/>
  <c r="Q6" i="7"/>
  <c r="R6" i="7" s="1"/>
  <c r="Q9" i="7"/>
  <c r="Q10" i="7"/>
  <c r="R10" i="7" s="1"/>
  <c r="S11" i="7"/>
  <c r="S13" i="7"/>
  <c r="S5" i="7"/>
  <c r="S18" i="7"/>
  <c r="S12" i="7"/>
  <c r="S14" i="7"/>
  <c r="S15" i="7"/>
  <c r="S4" i="7"/>
  <c r="S6" i="7"/>
  <c r="S19" i="7"/>
  <c r="S7" i="7"/>
  <c r="S20" i="7"/>
  <c r="S16" i="7"/>
  <c r="S17" i="7"/>
  <c r="S8" i="7"/>
  <c r="S10" i="7"/>
  <c r="S21" i="7"/>
  <c r="S9" i="7"/>
  <c r="R9" i="7" l="1"/>
  <c r="J24" i="1"/>
  <c r="J35" i="1" s="1"/>
  <c r="R12" i="7"/>
  <c r="AB12" i="7" s="1"/>
  <c r="T10" i="7"/>
  <c r="T4" i="7"/>
  <c r="T8" i="7"/>
  <c r="T13" i="7"/>
  <c r="T21" i="7"/>
  <c r="T7" i="7"/>
  <c r="T17" i="7"/>
  <c r="T19" i="7"/>
  <c r="T6" i="7"/>
  <c r="T18" i="7"/>
  <c r="T5" i="7"/>
  <c r="T15" i="7"/>
  <c r="T14" i="7"/>
  <c r="T11" i="7"/>
  <c r="T16" i="7"/>
  <c r="T20" i="7"/>
  <c r="J22" i="1" l="1"/>
  <c r="T9" i="7"/>
  <c r="T12" i="7"/>
  <c r="S17" i="5"/>
  <c r="D9" i="5"/>
  <c r="X17" i="5"/>
  <c r="AC17" i="5"/>
  <c r="P12" i="3"/>
  <c r="L12" i="3"/>
  <c r="L18" i="3"/>
  <c r="L19" i="3"/>
  <c r="K12" i="3"/>
  <c r="K19" i="3"/>
  <c r="K18" i="3"/>
  <c r="M12" i="3"/>
  <c r="AC18" i="5"/>
  <c r="AD18" i="5"/>
  <c r="AB18" i="5"/>
  <c r="X18" i="5"/>
  <c r="Y18" i="5"/>
  <c r="W18" i="5"/>
  <c r="S18" i="5"/>
  <c r="T18" i="5"/>
  <c r="R18" i="5"/>
  <c r="D10" i="5"/>
  <c r="E10" i="5"/>
  <c r="C10" i="5"/>
  <c r="AH18" i="5"/>
  <c r="AI18" i="5"/>
  <c r="AG18" i="5"/>
  <c r="N18" i="5"/>
  <c r="O18" i="5"/>
  <c r="M18" i="5"/>
  <c r="AH9" i="5"/>
  <c r="AI9" i="5"/>
  <c r="AG9" i="5"/>
  <c r="AC9" i="5"/>
  <c r="AD9" i="5"/>
  <c r="AB9" i="5"/>
  <c r="S9" i="5"/>
  <c r="T9" i="5"/>
  <c r="R9" i="5"/>
  <c r="I10" i="5"/>
  <c r="J10" i="5"/>
  <c r="H10" i="5"/>
  <c r="C11" i="1"/>
  <c r="B11" i="1"/>
  <c r="N5" i="3"/>
  <c r="I9" i="3" l="1"/>
  <c r="O5" i="3"/>
  <c r="I10" i="3"/>
  <c r="J10" i="3"/>
  <c r="G10" i="3"/>
  <c r="C10" i="3"/>
  <c r="I5" i="3"/>
  <c r="E10" i="3"/>
  <c r="G5" i="3"/>
  <c r="H5" i="3"/>
  <c r="H10" i="3"/>
  <c r="K10" i="3"/>
  <c r="M5" i="3"/>
  <c r="C5" i="3"/>
  <c r="D5" i="3"/>
  <c r="K5" i="3"/>
  <c r="E5" i="3"/>
  <c r="L10" i="3"/>
  <c r="M10" i="3"/>
  <c r="P10" i="3"/>
  <c r="J5" i="3"/>
  <c r="P5" i="3"/>
  <c r="F5" i="3"/>
  <c r="L5" i="3"/>
  <c r="P9" i="3" l="1"/>
  <c r="P8" i="3"/>
  <c r="O9" i="3" l="1"/>
  <c r="O8" i="3"/>
  <c r="B5" i="3"/>
  <c r="N9" i="3"/>
  <c r="N8" i="3"/>
  <c r="M9" i="3"/>
  <c r="M8" i="3"/>
  <c r="J26" i="1"/>
  <c r="K9" i="3"/>
  <c r="L9" i="3"/>
  <c r="L8" i="3"/>
  <c r="G9" i="3"/>
  <c r="B9" i="3"/>
  <c r="B8" i="3"/>
  <c r="D9" i="3"/>
  <c r="D8" i="3"/>
  <c r="F9" i="3"/>
  <c r="F8" i="3"/>
  <c r="G8" i="3"/>
  <c r="J9" i="3"/>
  <c r="J8" i="3"/>
  <c r="C9" i="3"/>
  <c r="C8" i="3"/>
  <c r="E9" i="3"/>
  <c r="E8" i="3"/>
  <c r="K8" i="3"/>
  <c r="C35" i="5" l="1"/>
  <c r="J28" i="1"/>
  <c r="H9" i="3"/>
  <c r="H28" i="1" l="1"/>
  <c r="H26" i="1" l="1"/>
  <c r="J38" i="1"/>
  <c r="J43" i="1" s="1"/>
</calcChain>
</file>

<file path=xl/sharedStrings.xml><?xml version="1.0" encoding="utf-8"?>
<sst xmlns="http://schemas.openxmlformats.org/spreadsheetml/2006/main" count="339" uniqueCount="113">
  <si>
    <t>Q:</t>
  </si>
  <si>
    <t>Adult</t>
  </si>
  <si>
    <t>Child</t>
  </si>
  <si>
    <t>Income</t>
  </si>
  <si>
    <t>above:</t>
  </si>
  <si>
    <t>PM</t>
  </si>
  <si>
    <t>Core</t>
  </si>
  <si>
    <t>Comp</t>
  </si>
  <si>
    <t>Total Medical Scheme Contribution</t>
  </si>
  <si>
    <t>Total Contribution</t>
  </si>
  <si>
    <t>Risk Premium:</t>
  </si>
  <si>
    <t>Ancillary service fee applicable? (For groups of 35 or fewer members.)</t>
  </si>
  <si>
    <t>None</t>
  </si>
  <si>
    <t>Vitality List</t>
  </si>
  <si>
    <t>Which lifestyle product would you like to include?</t>
  </si>
  <si>
    <t>Whilst all reasonable care has been taken, Alexander Forbes will not be held responsible for any errors or omissions herein.</t>
  </si>
  <si>
    <t>MSA</t>
  </si>
  <si>
    <t>N/A</t>
  </si>
  <si>
    <t>MSA:</t>
  </si>
  <si>
    <t>No Threshold</t>
  </si>
  <si>
    <t>Annual MSA =</t>
  </si>
  <si>
    <t>THRESHOLD EXEC</t>
  </si>
  <si>
    <t>Date Joined</t>
  </si>
  <si>
    <t>ATB</t>
  </si>
  <si>
    <t>Select the date at which you joined the medical scheme</t>
  </si>
  <si>
    <t>Income Band</t>
  </si>
  <si>
    <t>BonCap</t>
  </si>
  <si>
    <t>Beat 1 (Non-Network)</t>
  </si>
  <si>
    <t>Beat 1 (Network)</t>
  </si>
  <si>
    <t>Beat1NonNetwork</t>
  </si>
  <si>
    <t>Beat1Network</t>
  </si>
  <si>
    <t>Beat 2 (Non-Network)</t>
  </si>
  <si>
    <t>Beat2NonNetwork</t>
  </si>
  <si>
    <t>Beat 2 (Network)</t>
  </si>
  <si>
    <t>Beat2Network</t>
  </si>
  <si>
    <t>Beat 3 (Network)</t>
  </si>
  <si>
    <t>Beat3Network</t>
  </si>
  <si>
    <t>Beat 3 (Non-Network)</t>
  </si>
  <si>
    <t>Beat3NonNetwork</t>
  </si>
  <si>
    <t>Beat 4 (Non-Network)</t>
  </si>
  <si>
    <t>Beat4NonNetwork</t>
  </si>
  <si>
    <t>Pace 1</t>
  </si>
  <si>
    <t>Pace1</t>
  </si>
  <si>
    <t>Pace 2</t>
  </si>
  <si>
    <t>Pace2</t>
  </si>
  <si>
    <t>Pace 3</t>
  </si>
  <si>
    <t>Pace 4</t>
  </si>
  <si>
    <t>Pace4</t>
  </si>
  <si>
    <t>Pace3</t>
  </si>
  <si>
    <t>Reality</t>
  </si>
  <si>
    <t>JustRewards LifeStyle</t>
  </si>
  <si>
    <t>Rhythm1</t>
  </si>
  <si>
    <t>Rhythm2</t>
  </si>
  <si>
    <t>R 0 - R 9 000</t>
  </si>
  <si>
    <t>R 9 001 - R 14 000</t>
  </si>
  <si>
    <t>R 14 001 +</t>
  </si>
  <si>
    <t>No cap for children charged for</t>
  </si>
  <si>
    <t xml:space="preserve">Just rewards not updated with 2023 conts </t>
  </si>
  <si>
    <t>Beat 3 Plus</t>
  </si>
  <si>
    <t>Beat3Plus</t>
  </si>
  <si>
    <t>R 0 - R 5 500</t>
  </si>
  <si>
    <t>R 5 501 - R 8 500</t>
  </si>
  <si>
    <t>R 8 501 +</t>
  </si>
  <si>
    <t>OAL</t>
  </si>
  <si>
    <t>Savings Only</t>
  </si>
  <si>
    <t>Please indicate the number of children under 24.</t>
  </si>
  <si>
    <t>Overall Day to Day Limit =</t>
  </si>
  <si>
    <t>2026 Contribution</t>
  </si>
  <si>
    <t>Select an option for 2026</t>
  </si>
  <si>
    <t>J22</t>
  </si>
  <si>
    <t>Only manually enter these values</t>
  </si>
  <si>
    <t>Risk contibutions</t>
  </si>
  <si>
    <t>Savings contributions</t>
  </si>
  <si>
    <t>Threshold</t>
  </si>
  <si>
    <t>Max savings allocation</t>
  </si>
  <si>
    <t>Annual MSA</t>
  </si>
  <si>
    <t>Annual threshold</t>
  </si>
  <si>
    <t>SPG</t>
  </si>
  <si>
    <t>Risk</t>
  </si>
  <si>
    <t>Flexible Savings</t>
  </si>
  <si>
    <t>OHEB</t>
  </si>
  <si>
    <t>Annual OHEB</t>
  </si>
  <si>
    <t>Annual ATB</t>
  </si>
  <si>
    <t>Max children</t>
  </si>
  <si>
    <t>Option</t>
  </si>
  <si>
    <t>Option Detail</t>
  </si>
  <si>
    <t>Identifier</t>
  </si>
  <si>
    <t>P</t>
  </si>
  <si>
    <t>A</t>
  </si>
  <si>
    <t>C</t>
  </si>
  <si>
    <t>Family</t>
  </si>
  <si>
    <t>Before Flexible</t>
  </si>
  <si>
    <t>After Flexible</t>
  </si>
  <si>
    <t>Month joining</t>
  </si>
  <si>
    <t>Months left</t>
  </si>
  <si>
    <t>Flexible savings</t>
  </si>
  <si>
    <t>Lifestyle Product</t>
  </si>
  <si>
    <t>Per month</t>
  </si>
  <si>
    <t>Total</t>
  </si>
  <si>
    <t>Beat 1 Network</t>
  </si>
  <si>
    <t>Beat 2 Network</t>
  </si>
  <si>
    <t>Beat 3 Network</t>
  </si>
  <si>
    <t>Overall D2D</t>
  </si>
  <si>
    <t>j20</t>
  </si>
  <si>
    <t>j32</t>
  </si>
  <si>
    <t>j33</t>
  </si>
  <si>
    <t>Employer Subsidy</t>
  </si>
  <si>
    <t>Beat 1 Non-Network</t>
  </si>
  <si>
    <t>Beat 2 Non-Network</t>
  </si>
  <si>
    <t>Beat 3 Non-Network</t>
  </si>
  <si>
    <t>Beat 4 Non-Network</t>
  </si>
  <si>
    <r>
      <t xml:space="preserve">Please indicate number of other adult dependants
</t>
    </r>
    <r>
      <rPr>
        <sz val="8"/>
        <color rgb="FF75787B"/>
        <rFont val="Arial CE"/>
      </rPr>
      <t>(Excluding common law spouse, partner or spouse)[ie. children aged 24 and older, parents, siblings, etc.]</t>
    </r>
  </si>
  <si>
    <r>
      <t>Do you have a spouse</t>
    </r>
    <r>
      <rPr>
        <sz val="10"/>
        <color rgb="FF75787B"/>
        <rFont val="Arial CE"/>
      </rPr>
      <t xml:space="preserve"> </t>
    </r>
    <r>
      <rPr>
        <sz val="8"/>
        <color rgb="FF75787B"/>
        <rFont val="Arial CE"/>
      </rPr>
      <t>(Incl common law spouse or partner)</t>
    </r>
    <r>
      <rPr>
        <b/>
        <sz val="10"/>
        <color rgb="FF75787B"/>
        <rFont val="Arial CE"/>
        <family val="2"/>
        <charset val="238"/>
      </rPr>
      <t xml:space="preserve"> ?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</si>
</sst>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3" formatCode="_-* #,##0.00_-;\-* #,##0.00_-;_-* &quot;-&quot;??_-;_-@_-"/>
    <numFmt numFmtId="164" formatCode="[$R-1C09]\ #,##0.00"/>
    <numFmt numFmtId="165" formatCode="&quot;R&quot;\ #,##0.00"/>
    <numFmt numFmtId="166" formatCode="[$R-1C09]\ #,##0"/>
    <numFmt numFmtId="167" formatCode="[$-1C09]dd\ mmmm\ yyyy;@"/>
    <numFmt numFmtId="168" formatCode="d\ mmmm\ yyyy"/>
    <numFmt numFmtId="169" formatCode="0.0%"/>
    <numFmt numFmtId="170" formatCode="_-* #,##0_-;\-* #,##0_-;_-* &quot;-&quot;??_-;_-@_-"/>
    <numFmt numFmtId="171" formatCode="&quot;R&quot;#,##0"/>
  </numFmts>
  <fonts count="62">
    <font>
      <sz val="10"/>
      <name val="Arial"/>
    </font>
    <font>
      <sz val="10"/>
      <name val="Garamond"/>
      <family val="1"/>
    </font>
    <font>
      <b/>
      <u/>
      <sz val="10"/>
      <name val="Garamond"/>
      <family val="1"/>
    </font>
    <font>
      <b/>
      <sz val="10"/>
      <name val="Garamond"/>
      <family val="1"/>
    </font>
    <font>
      <sz val="9"/>
      <name val="Arial"/>
      <family val="2"/>
    </font>
    <font>
      <b/>
      <sz val="9"/>
      <name val="Arial"/>
      <family val="2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11"/>
      <name val="Arial CE"/>
      <family val="2"/>
      <charset val="238"/>
    </font>
    <font>
      <sz val="9"/>
      <name val="Arial CE"/>
      <family val="2"/>
      <charset val="238"/>
    </font>
    <font>
      <sz val="11"/>
      <name val="Arial"/>
      <family val="2"/>
    </font>
    <font>
      <sz val="10"/>
      <name val="Arial"/>
      <family val="2"/>
    </font>
    <font>
      <sz val="11"/>
      <color indexed="22"/>
      <name val="Arial CE"/>
      <family val="2"/>
      <charset val="238"/>
    </font>
    <font>
      <sz val="8"/>
      <name val="Arial"/>
      <family val="2"/>
    </font>
    <font>
      <b/>
      <sz val="11"/>
      <name val="Arial CE"/>
      <family val="2"/>
      <charset val="238"/>
    </font>
    <font>
      <i/>
      <sz val="11"/>
      <color indexed="10"/>
      <name val="Arial CE"/>
      <family val="2"/>
      <charset val="238"/>
    </font>
    <font>
      <b/>
      <sz val="11"/>
      <color indexed="10"/>
      <name val="Arial CE"/>
      <family val="2"/>
      <charset val="238"/>
    </font>
    <font>
      <sz val="9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9"/>
      <name val="Arial CE"/>
      <family val="2"/>
      <charset val="238"/>
    </font>
    <font>
      <b/>
      <sz val="12"/>
      <color indexed="9"/>
      <name val="Arial"/>
      <family val="2"/>
    </font>
    <font>
      <sz val="11"/>
      <color indexed="9"/>
      <name val="Arial CE"/>
      <family val="2"/>
      <charset val="238"/>
    </font>
    <font>
      <sz val="9"/>
      <color indexed="9"/>
      <name val="Arial CE"/>
      <family val="2"/>
      <charset val="238"/>
    </font>
    <font>
      <sz val="8"/>
      <color indexed="9"/>
      <name val="Arial CE"/>
      <family val="2"/>
      <charset val="238"/>
    </font>
    <font>
      <sz val="10"/>
      <color indexed="9"/>
      <name val="Arial CE"/>
      <family val="2"/>
      <charset val="238"/>
    </font>
    <font>
      <sz val="8"/>
      <color indexed="9"/>
      <name val="Arial"/>
      <family val="2"/>
    </font>
    <font>
      <sz val="11"/>
      <color indexed="9"/>
      <name val="Arial"/>
      <family val="2"/>
    </font>
    <font>
      <sz val="12"/>
      <color indexed="9"/>
      <name val="Arial CE"/>
      <family val="2"/>
      <charset val="238"/>
    </font>
    <font>
      <b/>
      <sz val="12"/>
      <color indexed="9"/>
      <name val="Arial CE"/>
      <family val="2"/>
      <charset val="238"/>
    </font>
    <font>
      <b/>
      <i/>
      <sz val="10"/>
      <color rgb="FF75787B"/>
      <name val="Arial CE"/>
    </font>
    <font>
      <b/>
      <sz val="10"/>
      <color rgb="FF75787B"/>
      <name val="Arial CE"/>
      <family val="2"/>
      <charset val="238"/>
    </font>
    <font>
      <b/>
      <sz val="10"/>
      <color rgb="FF75787B"/>
      <name val="Arial"/>
      <family val="2"/>
    </font>
    <font>
      <sz val="10"/>
      <color rgb="FF75787B"/>
      <name val="Arial CE"/>
      <family val="2"/>
      <charset val="238"/>
    </font>
    <font>
      <b/>
      <sz val="10"/>
      <color rgb="FF75787B"/>
      <name val="Arial CE"/>
    </font>
    <font>
      <b/>
      <i/>
      <sz val="10"/>
      <color rgb="FF75787B"/>
      <name val="Arial CE"/>
      <family val="2"/>
      <charset val="238"/>
    </font>
    <font>
      <i/>
      <sz val="10"/>
      <color rgb="FF75787B"/>
      <name val="Arial CE"/>
      <family val="2"/>
      <charset val="238"/>
    </font>
    <font>
      <sz val="9"/>
      <color theme="0" tint="-0.499984740745262"/>
      <name val="Arial CE"/>
      <family val="2"/>
      <charset val="238"/>
    </font>
    <font>
      <sz val="10"/>
      <color theme="0" tint="-0.499984740745262"/>
      <name val="Arial"/>
      <family val="2"/>
    </font>
    <font>
      <sz val="12"/>
      <color theme="0" tint="-0.499984740745262"/>
      <name val="Arial"/>
      <family val="2"/>
    </font>
    <font>
      <sz val="8"/>
      <color theme="0" tint="-0.499984740745262"/>
      <name val="Arial CE"/>
      <family val="2"/>
      <charset val="238"/>
    </font>
    <font>
      <sz val="9"/>
      <color theme="0" tint="-0.49998474074526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9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FF0000"/>
      <name val="Garamond"/>
      <family val="1"/>
    </font>
    <font>
      <b/>
      <sz val="11"/>
      <color theme="0"/>
      <name val="Arial"/>
      <family val="2"/>
    </font>
    <font>
      <sz val="10"/>
      <name val="Arial"/>
      <family val="2"/>
    </font>
    <font>
      <b/>
      <sz val="9"/>
      <color rgb="FFFF0000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10"/>
      <color indexed="64"/>
      <name val="Arial"/>
      <family val="2"/>
    </font>
    <font>
      <b/>
      <sz val="8"/>
      <color theme="0"/>
      <name val="Arial"/>
      <family val="2"/>
    </font>
    <font>
      <sz val="8"/>
      <color theme="0"/>
      <name val="Arial CE"/>
      <family val="2"/>
      <charset val="238"/>
    </font>
    <font>
      <sz val="8"/>
      <color theme="0"/>
      <name val="Arial"/>
      <family val="2"/>
    </font>
    <font>
      <sz val="8"/>
      <name val="Arial"/>
      <family val="2"/>
    </font>
    <font>
      <sz val="10"/>
      <name val="Arial CE"/>
    </font>
    <font>
      <b/>
      <sz val="10"/>
      <name val="Arial CE"/>
      <family val="2"/>
      <charset val="238"/>
    </font>
    <font>
      <b/>
      <sz val="12"/>
      <name val="Arial"/>
      <family val="2"/>
    </font>
    <font>
      <sz val="8"/>
      <color rgb="FF75787B"/>
      <name val="Arial CE"/>
    </font>
    <font>
      <sz val="10"/>
      <color rgb="FF75787B"/>
      <name val="Arial CE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75787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1C808D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F81BD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55"/>
      </left>
      <right style="thin">
        <color indexed="22"/>
      </right>
      <top style="medium">
        <color indexed="55"/>
      </top>
      <bottom style="thin">
        <color indexed="2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9" fontId="45" fillId="0" borderId="0" applyFont="0" applyFill="0" applyBorder="0" applyAlignment="0" applyProtection="0"/>
    <xf numFmtId="43" fontId="48" fillId="0" borderId="0" applyFont="0" applyFill="0" applyBorder="0" applyAlignment="0" applyProtection="0"/>
  </cellStyleXfs>
  <cellXfs count="221">
    <xf numFmtId="0" fontId="0" fillId="0" borderId="0" xfId="0"/>
    <xf numFmtId="3" fontId="1" fillId="0" borderId="0" xfId="0" applyNumberFormat="1" applyFont="1"/>
    <xf numFmtId="0" fontId="1" fillId="0" borderId="0" xfId="0" applyFont="1"/>
    <xf numFmtId="3" fontId="1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/>
    </xf>
    <xf numFmtId="0" fontId="4" fillId="0" borderId="0" xfId="0" applyFont="1"/>
    <xf numFmtId="3" fontId="1" fillId="2" borderId="2" xfId="0" applyNumberFormat="1" applyFont="1" applyFill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3" fontId="5" fillId="4" borderId="12" xfId="0" applyNumberFormat="1" applyFont="1" applyFill="1" applyBorder="1" applyAlignment="1">
      <alignment horizontal="center"/>
    </xf>
    <xf numFmtId="3" fontId="5" fillId="4" borderId="11" xfId="0" applyNumberFormat="1" applyFont="1" applyFill="1" applyBorder="1" applyAlignment="1">
      <alignment horizontal="center"/>
    </xf>
    <xf numFmtId="0" fontId="17" fillId="0" borderId="0" xfId="0" applyFont="1"/>
    <xf numFmtId="3" fontId="3" fillId="0" borderId="0" xfId="0" applyNumberFormat="1" applyFont="1" applyAlignment="1">
      <alignment horizontal="center"/>
    </xf>
    <xf numFmtId="0" fontId="6" fillId="5" borderId="0" xfId="0" applyFont="1" applyFill="1" applyAlignment="1" applyProtection="1">
      <alignment vertical="center"/>
      <protection hidden="1"/>
    </xf>
    <xf numFmtId="0" fontId="6" fillId="6" borderId="0" xfId="0" applyFont="1" applyFill="1" applyAlignment="1" applyProtection="1">
      <alignment vertical="center"/>
      <protection hidden="1"/>
    </xf>
    <xf numFmtId="0" fontId="23" fillId="6" borderId="0" xfId="0" applyFont="1" applyFill="1" applyAlignment="1" applyProtection="1">
      <alignment vertical="center"/>
      <protection hidden="1"/>
    </xf>
    <xf numFmtId="0" fontId="7" fillId="7" borderId="0" xfId="0" applyFont="1" applyFill="1" applyAlignment="1" applyProtection="1">
      <alignment vertical="center"/>
      <protection hidden="1"/>
    </xf>
    <xf numFmtId="0" fontId="24" fillId="7" borderId="0" xfId="0" applyFont="1" applyFill="1" applyAlignment="1" applyProtection="1">
      <alignment vertical="center"/>
      <protection hidden="1"/>
    </xf>
    <xf numFmtId="0" fontId="23" fillId="7" borderId="0" xfId="0" applyFont="1" applyFill="1" applyAlignment="1" applyProtection="1">
      <alignment vertical="center"/>
      <protection hidden="1"/>
    </xf>
    <xf numFmtId="0" fontId="6" fillId="7" borderId="0" xfId="0" applyFont="1" applyFill="1" applyAlignment="1" applyProtection="1">
      <alignment vertical="center"/>
      <protection hidden="1"/>
    </xf>
    <xf numFmtId="0" fontId="13" fillId="7" borderId="0" xfId="0" applyFont="1" applyFill="1" applyAlignment="1" applyProtection="1">
      <alignment vertical="center"/>
      <protection hidden="1"/>
    </xf>
    <xf numFmtId="0" fontId="25" fillId="7" borderId="0" xfId="0" applyFont="1" applyFill="1" applyAlignment="1" applyProtection="1">
      <alignment vertical="center"/>
      <protection hidden="1"/>
    </xf>
    <xf numFmtId="0" fontId="11" fillId="7" borderId="0" xfId="0" applyFont="1" applyFill="1" applyAlignment="1" applyProtection="1">
      <alignment horizontal="right" vertical="center"/>
      <protection hidden="1"/>
    </xf>
    <xf numFmtId="0" fontId="10" fillId="7" borderId="0" xfId="0" applyFont="1" applyFill="1" applyAlignment="1" applyProtection="1">
      <alignment vertical="center"/>
      <protection hidden="1"/>
    </xf>
    <xf numFmtId="0" fontId="26" fillId="7" borderId="0" xfId="0" applyFont="1" applyFill="1" applyAlignment="1" applyProtection="1">
      <alignment vertical="center"/>
      <protection hidden="1"/>
    </xf>
    <xf numFmtId="0" fontId="26" fillId="7" borderId="14" xfId="0" applyFont="1" applyFill="1" applyBorder="1" applyAlignment="1" applyProtection="1">
      <alignment horizontal="center" vertical="center"/>
      <protection hidden="1"/>
    </xf>
    <xf numFmtId="0" fontId="9" fillId="5" borderId="0" xfId="0" applyFont="1" applyFill="1" applyAlignment="1" applyProtection="1">
      <alignment vertical="center"/>
      <protection hidden="1"/>
    </xf>
    <xf numFmtId="0" fontId="14" fillId="7" borderId="0" xfId="0" applyFont="1" applyFill="1" applyAlignment="1" applyProtection="1">
      <alignment horizontal="right" vertical="center"/>
      <protection hidden="1"/>
    </xf>
    <xf numFmtId="0" fontId="14" fillId="7" borderId="0" xfId="0" applyFont="1" applyFill="1" applyAlignment="1" applyProtection="1">
      <alignment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21" fillId="7" borderId="0" xfId="0" applyFont="1" applyFill="1" applyAlignment="1" applyProtection="1">
      <alignment vertical="center"/>
      <protection hidden="1"/>
    </xf>
    <xf numFmtId="0" fontId="19" fillId="7" borderId="0" xfId="0" applyFont="1" applyFill="1" applyAlignment="1" applyProtection="1">
      <alignment horizontal="center" vertical="center"/>
      <protection hidden="1"/>
    </xf>
    <xf numFmtId="0" fontId="22" fillId="7" borderId="0" xfId="0" applyFont="1" applyFill="1" applyAlignment="1" applyProtection="1">
      <alignment vertical="center"/>
      <protection hidden="1"/>
    </xf>
    <xf numFmtId="0" fontId="9" fillId="7" borderId="0" xfId="0" applyFont="1" applyFill="1" applyAlignment="1" applyProtection="1">
      <alignment vertical="center"/>
      <protection hidden="1"/>
    </xf>
    <xf numFmtId="0" fontId="29" fillId="7" borderId="0" xfId="0" applyFont="1" applyFill="1" applyAlignment="1" applyProtection="1">
      <alignment horizontal="right" vertical="center"/>
      <protection hidden="1"/>
    </xf>
    <xf numFmtId="0" fontId="30" fillId="7" borderId="0" xfId="0" applyFont="1" applyFill="1" applyAlignment="1" applyProtection="1">
      <alignment horizontal="left" vertical="center"/>
      <protection hidden="1"/>
    </xf>
    <xf numFmtId="0" fontId="30" fillId="7" borderId="0" xfId="0" applyFont="1" applyFill="1" applyAlignment="1" applyProtection="1">
      <alignment vertical="center"/>
      <protection hidden="1"/>
    </xf>
    <xf numFmtId="0" fontId="31" fillId="7" borderId="0" xfId="0" applyFont="1" applyFill="1" applyAlignment="1" applyProtection="1">
      <alignment vertical="center"/>
      <protection hidden="1"/>
    </xf>
    <xf numFmtId="0" fontId="32" fillId="7" borderId="0" xfId="0" applyFont="1" applyFill="1" applyAlignment="1" applyProtection="1">
      <alignment vertical="center"/>
      <protection hidden="1"/>
    </xf>
    <xf numFmtId="0" fontId="30" fillId="7" borderId="0" xfId="0" applyFont="1" applyFill="1" applyAlignment="1" applyProtection="1">
      <alignment horizontal="right" vertical="center"/>
      <protection hidden="1"/>
    </xf>
    <xf numFmtId="0" fontId="33" fillId="7" borderId="0" xfId="0" applyFont="1" applyFill="1" applyAlignment="1" applyProtection="1">
      <alignment vertical="center"/>
      <protection hidden="1"/>
    </xf>
    <xf numFmtId="0" fontId="29" fillId="7" borderId="0" xfId="0" applyFont="1" applyFill="1" applyAlignment="1" applyProtection="1">
      <alignment vertical="center"/>
      <protection hidden="1"/>
    </xf>
    <xf numFmtId="0" fontId="33" fillId="7" borderId="0" xfId="0" applyFont="1" applyFill="1" applyAlignment="1" applyProtection="1">
      <alignment horizontal="center" vertical="center"/>
      <protection hidden="1"/>
    </xf>
    <xf numFmtId="164" fontId="30" fillId="7" borderId="0" xfId="0" applyNumberFormat="1" applyFont="1" applyFill="1" applyAlignment="1" applyProtection="1">
      <alignment horizontal="center" vertical="center"/>
      <protection hidden="1"/>
    </xf>
    <xf numFmtId="166" fontId="33" fillId="7" borderId="15" xfId="0" quotePrefix="1" applyNumberFormat="1" applyFont="1" applyFill="1" applyBorder="1" applyAlignment="1" applyProtection="1">
      <alignment horizontal="center" vertical="center"/>
      <protection hidden="1"/>
    </xf>
    <xf numFmtId="164" fontId="26" fillId="7" borderId="0" xfId="0" applyNumberFormat="1" applyFont="1" applyFill="1" applyAlignment="1" applyProtection="1">
      <alignment vertical="center"/>
      <protection hidden="1"/>
    </xf>
    <xf numFmtId="0" fontId="34" fillId="7" borderId="0" xfId="0" applyFont="1" applyFill="1" applyAlignment="1" applyProtection="1">
      <alignment horizontal="left" vertical="center"/>
      <protection hidden="1"/>
    </xf>
    <xf numFmtId="166" fontId="33" fillId="7" borderId="15" xfId="0" applyNumberFormat="1" applyFont="1" applyFill="1" applyBorder="1" applyAlignment="1" applyProtection="1">
      <alignment horizontal="center" vertical="center"/>
      <protection hidden="1"/>
    </xf>
    <xf numFmtId="0" fontId="8" fillId="7" borderId="0" xfId="0" applyFont="1" applyFill="1" applyAlignment="1" applyProtection="1">
      <alignment vertical="center"/>
      <protection hidden="1"/>
    </xf>
    <xf numFmtId="166" fontId="33" fillId="7" borderId="15" xfId="0" quotePrefix="1" applyNumberFormat="1" applyFont="1" applyFill="1" applyBorder="1" applyAlignment="1" applyProtection="1">
      <alignment horizontal="center" vertical="center"/>
      <protection locked="0" hidden="1"/>
    </xf>
    <xf numFmtId="168" fontId="33" fillId="7" borderId="15" xfId="0" quotePrefix="1" applyNumberFormat="1" applyFont="1" applyFill="1" applyBorder="1" applyAlignment="1" applyProtection="1">
      <alignment horizontal="center" vertical="center"/>
      <protection locked="0" hidden="1"/>
    </xf>
    <xf numFmtId="0" fontId="33" fillId="7" borderId="15" xfId="0" quotePrefix="1" applyFont="1" applyFill="1" applyBorder="1" applyAlignment="1" applyProtection="1">
      <alignment horizontal="center" vertical="center"/>
      <protection locked="0" hidden="1"/>
    </xf>
    <xf numFmtId="3" fontId="5" fillId="0" borderId="0" xfId="0" applyNumberFormat="1" applyFont="1"/>
    <xf numFmtId="0" fontId="5" fillId="3" borderId="9" xfId="0" applyFont="1" applyFill="1" applyBorder="1" applyAlignment="1">
      <alignment horizontal="center" wrapText="1"/>
    </xf>
    <xf numFmtId="0" fontId="5" fillId="3" borderId="10" xfId="0" applyFont="1" applyFill="1" applyBorder="1" applyAlignment="1">
      <alignment horizontal="center" wrapText="1"/>
    </xf>
    <xf numFmtId="0" fontId="5" fillId="3" borderId="11" xfId="0" applyFont="1" applyFill="1" applyBorder="1" applyAlignment="1">
      <alignment horizontal="center" wrapText="1"/>
    </xf>
    <xf numFmtId="0" fontId="5" fillId="3" borderId="13" xfId="0" applyFont="1" applyFill="1" applyBorder="1" applyAlignment="1">
      <alignment horizontal="center" wrapText="1"/>
    </xf>
    <xf numFmtId="0" fontId="39" fillId="7" borderId="0" xfId="0" applyFont="1" applyFill="1" applyAlignment="1" applyProtection="1">
      <alignment vertical="center"/>
      <protection hidden="1"/>
    </xf>
    <xf numFmtId="0" fontId="36" fillId="7" borderId="0" xfId="0" applyFont="1" applyFill="1" applyAlignment="1" applyProtection="1">
      <alignment vertical="center"/>
      <protection hidden="1"/>
    </xf>
    <xf numFmtId="3" fontId="1" fillId="7" borderId="1" xfId="0" applyNumberFormat="1" applyFont="1" applyFill="1" applyBorder="1" applyAlignment="1">
      <alignment horizontal="center"/>
    </xf>
    <xf numFmtId="3" fontId="1" fillId="7" borderId="2" xfId="0" applyNumberFormat="1" applyFont="1" applyFill="1" applyBorder="1" applyAlignment="1">
      <alignment horizontal="center"/>
    </xf>
    <xf numFmtId="0" fontId="1" fillId="7" borderId="0" xfId="0" applyFont="1" applyFill="1"/>
    <xf numFmtId="3" fontId="1" fillId="7" borderId="4" xfId="0" applyNumberFormat="1" applyFont="1" applyFill="1" applyBorder="1" applyAlignment="1">
      <alignment horizontal="center"/>
    </xf>
    <xf numFmtId="3" fontId="1" fillId="7" borderId="0" xfId="0" applyNumberFormat="1" applyFont="1" applyFill="1" applyAlignment="1">
      <alignment horizontal="center"/>
    </xf>
    <xf numFmtId="3" fontId="3" fillId="7" borderId="8" xfId="0" applyNumberFormat="1" applyFont="1" applyFill="1" applyBorder="1" applyAlignment="1">
      <alignment horizontal="center"/>
    </xf>
    <xf numFmtId="3" fontId="1" fillId="8" borderId="1" xfId="0" applyNumberFormat="1" applyFont="1" applyFill="1" applyBorder="1" applyAlignment="1">
      <alignment horizontal="center"/>
    </xf>
    <xf numFmtId="0" fontId="43" fillId="0" borderId="0" xfId="0" applyFont="1"/>
    <xf numFmtId="3" fontId="1" fillId="8" borderId="2" xfId="0" applyNumberFormat="1" applyFont="1" applyFill="1" applyBorder="1" applyAlignment="1">
      <alignment horizontal="center"/>
    </xf>
    <xf numFmtId="0" fontId="17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wrapText="1"/>
    </xf>
    <xf numFmtId="3" fontId="3" fillId="3" borderId="3" xfId="0" applyNumberFormat="1" applyFont="1" applyFill="1" applyBorder="1" applyAlignment="1">
      <alignment horizontal="center"/>
    </xf>
    <xf numFmtId="3" fontId="3" fillId="3" borderId="4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/>
    </xf>
    <xf numFmtId="3" fontId="3" fillId="3" borderId="2" xfId="0" applyNumberFormat="1" applyFont="1" applyFill="1" applyBorder="1" applyAlignment="1">
      <alignment horizontal="center" vertical="center"/>
    </xf>
    <xf numFmtId="3" fontId="3" fillId="3" borderId="7" xfId="0" applyNumberFormat="1" applyFont="1" applyFill="1" applyBorder="1" applyAlignment="1">
      <alignment horizontal="center"/>
    </xf>
    <xf numFmtId="3" fontId="3" fillId="3" borderId="6" xfId="0" applyNumberFormat="1" applyFont="1" applyFill="1" applyBorder="1" applyAlignment="1">
      <alignment horizontal="center"/>
    </xf>
    <xf numFmtId="3" fontId="3" fillId="9" borderId="3" xfId="0" applyNumberFormat="1" applyFont="1" applyFill="1" applyBorder="1" applyAlignment="1">
      <alignment horizontal="center"/>
    </xf>
    <xf numFmtId="3" fontId="3" fillId="9" borderId="4" xfId="0" applyNumberFormat="1" applyFont="1" applyFill="1" applyBorder="1" applyAlignment="1">
      <alignment horizontal="center" vertical="center"/>
    </xf>
    <xf numFmtId="3" fontId="3" fillId="9" borderId="5" xfId="0" applyNumberFormat="1" applyFont="1" applyFill="1" applyBorder="1" applyAlignment="1">
      <alignment horizontal="center"/>
    </xf>
    <xf numFmtId="3" fontId="3" fillId="9" borderId="6" xfId="0" applyNumberFormat="1" applyFont="1" applyFill="1" applyBorder="1" applyAlignment="1">
      <alignment horizontal="center"/>
    </xf>
    <xf numFmtId="3" fontId="3" fillId="9" borderId="2" xfId="0" applyNumberFormat="1" applyFont="1" applyFill="1" applyBorder="1" applyAlignment="1">
      <alignment horizontal="center" vertical="center"/>
    </xf>
    <xf numFmtId="3" fontId="3" fillId="9" borderId="7" xfId="0" applyNumberFormat="1" applyFont="1" applyFill="1" applyBorder="1" applyAlignment="1">
      <alignment horizontal="center"/>
    </xf>
    <xf numFmtId="3" fontId="1" fillId="9" borderId="1" xfId="0" applyNumberFormat="1" applyFont="1" applyFill="1" applyBorder="1" applyAlignment="1">
      <alignment horizontal="center"/>
    </xf>
    <xf numFmtId="3" fontId="1" fillId="9" borderId="2" xfId="0" applyNumberFormat="1" applyFont="1" applyFill="1" applyBorder="1" applyAlignment="1">
      <alignment horizontal="center"/>
    </xf>
    <xf numFmtId="3" fontId="1" fillId="9" borderId="4" xfId="0" applyNumberFormat="1" applyFont="1" applyFill="1" applyBorder="1" applyAlignment="1">
      <alignment horizontal="center"/>
    </xf>
    <xf numFmtId="3" fontId="1" fillId="9" borderId="0" xfId="0" applyNumberFormat="1" applyFont="1" applyFill="1" applyAlignment="1">
      <alignment horizontal="center"/>
    </xf>
    <xf numFmtId="3" fontId="3" fillId="9" borderId="8" xfId="0" applyNumberFormat="1" applyFont="1" applyFill="1" applyBorder="1" applyAlignment="1">
      <alignment horizontal="center"/>
    </xf>
    <xf numFmtId="3" fontId="5" fillId="9" borderId="11" xfId="0" applyNumberFormat="1" applyFont="1" applyFill="1" applyBorder="1" applyAlignment="1">
      <alignment horizontal="center"/>
    </xf>
    <xf numFmtId="169" fontId="43" fillId="0" borderId="0" xfId="1" applyNumberFormat="1" applyFont="1" applyAlignment="1">
      <alignment horizontal="center"/>
    </xf>
    <xf numFmtId="3" fontId="5" fillId="8" borderId="11" xfId="0" applyNumberFormat="1" applyFont="1" applyFill="1" applyBorder="1" applyAlignment="1">
      <alignment horizontal="center"/>
    </xf>
    <xf numFmtId="0" fontId="43" fillId="8" borderId="0" xfId="0" applyFont="1" applyFill="1"/>
    <xf numFmtId="3" fontId="46" fillId="0" borderId="0" xfId="0" applyNumberFormat="1" applyFont="1"/>
    <xf numFmtId="9" fontId="1" fillId="0" borderId="0" xfId="1" applyFont="1"/>
    <xf numFmtId="166" fontId="9" fillId="7" borderId="0" xfId="0" applyNumberFormat="1" applyFont="1" applyFill="1" applyAlignment="1" applyProtection="1">
      <alignment vertical="center"/>
      <protection hidden="1"/>
    </xf>
    <xf numFmtId="3" fontId="3" fillId="11" borderId="3" xfId="0" applyNumberFormat="1" applyFont="1" applyFill="1" applyBorder="1" applyAlignment="1">
      <alignment horizontal="center"/>
    </xf>
    <xf numFmtId="3" fontId="3" fillId="11" borderId="4" xfId="0" applyNumberFormat="1" applyFont="1" applyFill="1" applyBorder="1" applyAlignment="1">
      <alignment horizontal="center" vertical="center"/>
    </xf>
    <xf numFmtId="3" fontId="3" fillId="11" borderId="5" xfId="0" applyNumberFormat="1" applyFont="1" applyFill="1" applyBorder="1" applyAlignment="1">
      <alignment horizontal="center"/>
    </xf>
    <xf numFmtId="3" fontId="3" fillId="11" borderId="6" xfId="0" applyNumberFormat="1" applyFont="1" applyFill="1" applyBorder="1" applyAlignment="1">
      <alignment horizontal="center"/>
    </xf>
    <xf numFmtId="3" fontId="3" fillId="11" borderId="2" xfId="0" applyNumberFormat="1" applyFont="1" applyFill="1" applyBorder="1" applyAlignment="1">
      <alignment horizontal="center" vertical="center"/>
    </xf>
    <xf numFmtId="3" fontId="3" fillId="11" borderId="7" xfId="0" applyNumberFormat="1" applyFont="1" applyFill="1" applyBorder="1" applyAlignment="1">
      <alignment horizontal="center"/>
    </xf>
    <xf numFmtId="3" fontId="1" fillId="11" borderId="1" xfId="0" applyNumberFormat="1" applyFont="1" applyFill="1" applyBorder="1" applyAlignment="1">
      <alignment horizontal="center"/>
    </xf>
    <xf numFmtId="3" fontId="1" fillId="11" borderId="2" xfId="0" applyNumberFormat="1" applyFont="1" applyFill="1" applyBorder="1" applyAlignment="1">
      <alignment horizontal="center"/>
    </xf>
    <xf numFmtId="3" fontId="3" fillId="11" borderId="18" xfId="0" applyNumberFormat="1" applyFont="1" applyFill="1" applyBorder="1" applyAlignment="1">
      <alignment horizontal="center"/>
    </xf>
    <xf numFmtId="3" fontId="1" fillId="11" borderId="4" xfId="0" applyNumberFormat="1" applyFont="1" applyFill="1" applyBorder="1" applyAlignment="1">
      <alignment horizontal="center"/>
    </xf>
    <xf numFmtId="1" fontId="1" fillId="0" borderId="0" xfId="1" applyNumberFormat="1" applyFont="1"/>
    <xf numFmtId="1" fontId="1" fillId="0" borderId="0" xfId="1" applyNumberFormat="1" applyFont="1" applyFill="1" applyBorder="1" applyAlignment="1">
      <alignment horizontal="center"/>
    </xf>
    <xf numFmtId="3" fontId="1" fillId="11" borderId="0" xfId="0" applyNumberFormat="1" applyFont="1" applyFill="1" applyAlignment="1">
      <alignment horizontal="center"/>
    </xf>
    <xf numFmtId="0" fontId="49" fillId="0" borderId="0" xfId="0" applyFont="1" applyAlignment="1">
      <alignment horizontal="center"/>
    </xf>
    <xf numFmtId="0" fontId="49" fillId="12" borderId="0" xfId="0" applyFont="1" applyFill="1" applyAlignment="1">
      <alignment horizontal="center"/>
    </xf>
    <xf numFmtId="0" fontId="49" fillId="13" borderId="0" xfId="0" applyFont="1" applyFill="1" applyAlignment="1">
      <alignment horizontal="center"/>
    </xf>
    <xf numFmtId="0" fontId="50" fillId="9" borderId="0" xfId="0" applyFont="1" applyFill="1"/>
    <xf numFmtId="0" fontId="50" fillId="10" borderId="0" xfId="0" applyFont="1" applyFill="1"/>
    <xf numFmtId="0" fontId="5" fillId="0" borderId="0" xfId="0" applyFont="1"/>
    <xf numFmtId="0" fontId="5" fillId="14" borderId="25" xfId="0" applyFont="1" applyFill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14" borderId="26" xfId="0" applyFont="1" applyFill="1" applyBorder="1" applyAlignment="1">
      <alignment horizontal="center"/>
    </xf>
    <xf numFmtId="0" fontId="5" fillId="9" borderId="26" xfId="0" applyFont="1" applyFill="1" applyBorder="1" applyAlignment="1">
      <alignment horizontal="center"/>
    </xf>
    <xf numFmtId="0" fontId="5" fillId="0" borderId="28" xfId="0" applyFont="1" applyBorder="1" applyAlignment="1">
      <alignment horizontal="center"/>
    </xf>
    <xf numFmtId="170" fontId="5" fillId="0" borderId="5" xfId="2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26" xfId="0" applyFont="1" applyBorder="1"/>
    <xf numFmtId="0" fontId="4" fillId="14" borderId="26" xfId="0" applyFont="1" applyFill="1" applyBorder="1"/>
    <xf numFmtId="171" fontId="4" fillId="9" borderId="26" xfId="0" applyNumberFormat="1" applyFont="1" applyFill="1" applyBorder="1"/>
    <xf numFmtId="171" fontId="51" fillId="10" borderId="26" xfId="0" applyNumberFormat="1" applyFont="1" applyFill="1" applyBorder="1"/>
    <xf numFmtId="0" fontId="4" fillId="13" borderId="26" xfId="0" applyFont="1" applyFill="1" applyBorder="1"/>
    <xf numFmtId="170" fontId="4" fillId="14" borderId="26" xfId="0" applyNumberFormat="1" applyFont="1" applyFill="1" applyBorder="1"/>
    <xf numFmtId="171" fontId="4" fillId="14" borderId="26" xfId="0" applyNumberFormat="1" applyFont="1" applyFill="1" applyBorder="1"/>
    <xf numFmtId="0" fontId="4" fillId="9" borderId="26" xfId="0" applyFont="1" applyFill="1" applyBorder="1"/>
    <xf numFmtId="0" fontId="4" fillId="0" borderId="17" xfId="0" applyFont="1" applyBorder="1"/>
    <xf numFmtId="170" fontId="4" fillId="0" borderId="7" xfId="0" applyNumberFormat="1" applyFont="1" applyBorder="1"/>
    <xf numFmtId="171" fontId="4" fillId="0" borderId="0" xfId="0" applyNumberFormat="1" applyFont="1"/>
    <xf numFmtId="0" fontId="53" fillId="10" borderId="26" xfId="0" applyFont="1" applyFill="1" applyBorder="1"/>
    <xf numFmtId="0" fontId="53" fillId="10" borderId="26" xfId="0" applyFont="1" applyFill="1" applyBorder="1" applyAlignment="1">
      <alignment horizontal="center"/>
    </xf>
    <xf numFmtId="0" fontId="54" fillId="10" borderId="26" xfId="0" applyFont="1" applyFill="1" applyBorder="1" applyAlignment="1" applyProtection="1">
      <alignment vertical="center"/>
      <protection hidden="1"/>
    </xf>
    <xf numFmtId="0" fontId="55" fillId="10" borderId="26" xfId="0" applyFont="1" applyFill="1" applyBorder="1"/>
    <xf numFmtId="0" fontId="55" fillId="10" borderId="26" xfId="0" applyFont="1" applyFill="1" applyBorder="1" applyAlignment="1">
      <alignment horizontal="center"/>
    </xf>
    <xf numFmtId="0" fontId="50" fillId="10" borderId="26" xfId="0" applyFont="1" applyFill="1" applyBorder="1"/>
    <xf numFmtId="0" fontId="50" fillId="10" borderId="26" xfId="0" applyFont="1" applyFill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" fillId="14" borderId="22" xfId="0" applyFont="1" applyFill="1" applyBorder="1" applyAlignment="1">
      <alignment horizontal="center"/>
    </xf>
    <xf numFmtId="0" fontId="9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vertical="center"/>
      <protection hidden="1"/>
    </xf>
    <xf numFmtId="0" fontId="30" fillId="0" borderId="0" xfId="0" applyFont="1" applyAlignment="1" applyProtection="1">
      <alignment horizontal="right" vertical="center"/>
      <protection hidden="1"/>
    </xf>
    <xf numFmtId="0" fontId="32" fillId="0" borderId="0" xfId="0" applyFont="1" applyAlignment="1" applyProtection="1">
      <alignment vertical="center"/>
      <protection hidden="1"/>
    </xf>
    <xf numFmtId="0" fontId="33" fillId="0" borderId="0" xfId="0" applyFont="1" applyAlignment="1" applyProtection="1">
      <alignment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36" fillId="0" borderId="0" xfId="0" applyFont="1" applyAlignment="1" applyProtection="1">
      <alignment vertical="center"/>
      <protection hidden="1"/>
    </xf>
    <xf numFmtId="166" fontId="33" fillId="0" borderId="15" xfId="0" applyNumberFormat="1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horizontal="left" vertical="center"/>
      <protection hidden="1"/>
    </xf>
    <xf numFmtId="0" fontId="33" fillId="0" borderId="0" xfId="0" applyFont="1" applyAlignment="1" applyProtection="1">
      <alignment horizontal="right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9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2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41" fillId="0" borderId="0" xfId="0" applyFont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168" fontId="42" fillId="0" borderId="0" xfId="0" applyNumberFormat="1" applyFont="1" applyAlignment="1" applyProtection="1">
      <alignment horizontal="left" vertical="center"/>
      <protection hidden="1"/>
    </xf>
    <xf numFmtId="0" fontId="42" fillId="0" borderId="0" xfId="0" applyFont="1" applyAlignment="1" applyProtection="1">
      <alignment horizontal="center" vertical="center"/>
      <protection hidden="1"/>
    </xf>
    <xf numFmtId="0" fontId="3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vertical="center"/>
      <protection hidden="1"/>
    </xf>
    <xf numFmtId="0" fontId="4" fillId="0" borderId="0" xfId="0" applyFont="1" applyProtection="1">
      <protection hidden="1"/>
    </xf>
    <xf numFmtId="0" fontId="17" fillId="0" borderId="0" xfId="0" applyFont="1" applyAlignment="1" applyProtection="1">
      <alignment vertical="center"/>
      <protection hidden="1"/>
    </xf>
    <xf numFmtId="0" fontId="40" fillId="0" borderId="0" xfId="0" applyFont="1" applyAlignment="1" applyProtection="1">
      <alignment vertical="center"/>
      <protection hidden="1"/>
    </xf>
    <xf numFmtId="167" fontId="42" fillId="0" borderId="0" xfId="0" applyNumberFormat="1" applyFont="1" applyAlignment="1" applyProtection="1">
      <alignment vertical="center"/>
      <protection hidden="1"/>
    </xf>
    <xf numFmtId="0" fontId="38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57" fillId="0" borderId="0" xfId="0" applyFont="1" applyAlignment="1" applyProtection="1">
      <alignment horizontal="right" vertical="center"/>
      <protection hidden="1"/>
    </xf>
    <xf numFmtId="0" fontId="58" fillId="0" borderId="0" xfId="0" applyFont="1" applyAlignment="1" applyProtection="1">
      <alignment horizontal="right" vertical="center"/>
      <protection hidden="1"/>
    </xf>
    <xf numFmtId="166" fontId="7" fillId="0" borderId="0" xfId="0" applyNumberFormat="1" applyFont="1" applyAlignment="1" applyProtection="1">
      <alignment horizontal="center" vertical="center"/>
      <protection hidden="1"/>
    </xf>
    <xf numFmtId="166" fontId="58" fillId="0" borderId="0" xfId="0" applyNumberFormat="1" applyFont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right" vertical="center"/>
      <protection hidden="1"/>
    </xf>
    <xf numFmtId="166" fontId="44" fillId="0" borderId="16" xfId="0" applyNumberFormat="1" applyFont="1" applyBorder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vertical="center"/>
      <protection hidden="1"/>
    </xf>
    <xf numFmtId="0" fontId="59" fillId="0" borderId="0" xfId="0" applyFont="1" applyAlignment="1" applyProtection="1">
      <alignment vertical="center"/>
      <protection hidden="1"/>
    </xf>
    <xf numFmtId="165" fontId="47" fillId="15" borderId="0" xfId="0" applyNumberFormat="1" applyFont="1" applyFill="1" applyAlignment="1" applyProtection="1">
      <alignment horizontal="center" vertical="center"/>
      <protection hidden="1"/>
    </xf>
    <xf numFmtId="0" fontId="5" fillId="9" borderId="26" xfId="0" applyFont="1" applyFill="1" applyBorder="1"/>
    <xf numFmtId="0" fontId="30" fillId="7" borderId="0" xfId="0" applyFont="1" applyFill="1" applyAlignment="1" applyProtection="1">
      <alignment vertical="center" wrapText="1"/>
      <protection hidden="1"/>
    </xf>
    <xf numFmtId="170" fontId="4" fillId="9" borderId="26" xfId="0" applyNumberFormat="1" applyFont="1" applyFill="1" applyBorder="1"/>
    <xf numFmtId="0" fontId="33" fillId="7" borderId="0" xfId="0" quotePrefix="1" applyFont="1" applyFill="1" applyAlignment="1" applyProtection="1">
      <alignment horizontal="center" vertical="center"/>
      <protection locked="0" hidden="1"/>
    </xf>
    <xf numFmtId="0" fontId="44" fillId="3" borderId="17" xfId="0" applyFont="1" applyFill="1" applyBorder="1" applyAlignment="1" applyProtection="1">
      <alignment horizontal="center"/>
      <protection locked="0"/>
    </xf>
    <xf numFmtId="0" fontId="44" fillId="11" borderId="17" xfId="0" applyFont="1" applyFill="1" applyBorder="1" applyAlignment="1" applyProtection="1">
      <alignment horizontal="center"/>
      <protection locked="0"/>
    </xf>
    <xf numFmtId="0" fontId="44" fillId="11" borderId="19" xfId="0" applyFont="1" applyFill="1" applyBorder="1" applyAlignment="1" applyProtection="1">
      <alignment horizontal="center"/>
      <protection locked="0"/>
    </xf>
    <xf numFmtId="0" fontId="44" fillId="11" borderId="20" xfId="0" applyFont="1" applyFill="1" applyBorder="1" applyAlignment="1" applyProtection="1">
      <alignment horizontal="center"/>
      <protection locked="0"/>
    </xf>
    <xf numFmtId="0" fontId="44" fillId="11" borderId="21" xfId="0" applyFont="1" applyFill="1" applyBorder="1" applyAlignment="1" applyProtection="1">
      <alignment horizontal="center"/>
      <protection locked="0"/>
    </xf>
    <xf numFmtId="2" fontId="44" fillId="11" borderId="17" xfId="0" applyNumberFormat="1" applyFont="1" applyFill="1" applyBorder="1" applyAlignment="1" applyProtection="1">
      <alignment horizontal="center"/>
      <protection locked="0"/>
    </xf>
    <xf numFmtId="0" fontId="44" fillId="9" borderId="19" xfId="0" applyFont="1" applyFill="1" applyBorder="1" applyAlignment="1" applyProtection="1">
      <alignment horizontal="center"/>
      <protection locked="0"/>
    </xf>
    <xf numFmtId="0" fontId="44" fillId="9" borderId="20" xfId="0" applyFont="1" applyFill="1" applyBorder="1" applyAlignment="1" applyProtection="1">
      <alignment horizontal="center"/>
      <protection locked="0"/>
    </xf>
    <xf numFmtId="0" fontId="44" fillId="9" borderId="21" xfId="0" applyFont="1" applyFill="1" applyBorder="1" applyAlignment="1" applyProtection="1">
      <alignment horizontal="center"/>
      <protection locked="0"/>
    </xf>
    <xf numFmtId="0" fontId="44" fillId="9" borderId="17" xfId="0" applyFont="1" applyFill="1" applyBorder="1" applyAlignment="1" applyProtection="1">
      <alignment horizontal="center"/>
      <protection locked="0"/>
    </xf>
    <xf numFmtId="0" fontId="30" fillId="7" borderId="0" xfId="0" applyFont="1" applyFill="1" applyAlignment="1" applyProtection="1">
      <alignment vertical="center" wrapText="1"/>
      <protection hidden="1"/>
    </xf>
    <xf numFmtId="0" fontId="0" fillId="0" borderId="0" xfId="0" applyAlignment="1">
      <alignment vertical="center" wrapText="1"/>
    </xf>
    <xf numFmtId="0" fontId="5" fillId="0" borderId="25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2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14" borderId="25" xfId="0" applyFont="1" applyFill="1" applyBorder="1" applyAlignment="1">
      <alignment horizontal="center"/>
    </xf>
    <xf numFmtId="0" fontId="5" fillId="9" borderId="25" xfId="0" applyFont="1" applyFill="1" applyBorder="1" applyAlignment="1">
      <alignment horizontal="center"/>
    </xf>
    <xf numFmtId="0" fontId="5" fillId="9" borderId="22" xfId="0" applyFont="1" applyFill="1" applyBorder="1" applyAlignment="1">
      <alignment horizontal="center"/>
    </xf>
    <xf numFmtId="0" fontId="5" fillId="9" borderId="23" xfId="0" applyFont="1" applyFill="1" applyBorder="1" applyAlignment="1">
      <alignment horizontal="center"/>
    </xf>
    <xf numFmtId="0" fontId="5" fillId="9" borderId="24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4">
    <dxf>
      <border>
        <left/>
        <right/>
        <top/>
        <bottom/>
      </border>
    </dxf>
    <dxf>
      <font>
        <condense val="0"/>
        <extend val="0"/>
        <color indexed="22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  <border>
        <left/>
        <right/>
        <top/>
        <bottom/>
      </border>
    </dxf>
    <dxf>
      <font>
        <condense val="0"/>
        <extend val="0"/>
        <color indexed="9"/>
      </font>
    </dxf>
  </dxfs>
  <tableStyles count="1" defaultTableStyle="TableStyleMedium9" defaultPivotStyle="PivotStyleLight16">
    <tableStyle name="Invisible" pivot="0" table="0" count="0" xr9:uid="{55A9DB39-3E94-45DC-9F49-1B9F303F1BB4}"/>
  </tableStyles>
  <colors>
    <mruColors>
      <color rgb="FF4F81BD"/>
      <color rgb="FFFF9999"/>
      <color rgb="FFF15A22"/>
      <color rgb="FF1C808D"/>
      <color rgb="FF00FF00"/>
      <color rgb="FF00D000"/>
      <color rgb="FF00D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104775</xdr:colOff>
      <xdr:row>0</xdr:row>
      <xdr:rowOff>0</xdr:rowOff>
    </xdr:from>
    <xdr:to>
      <xdr:col>6</xdr:col>
      <xdr:colOff>523875</xdr:colOff>
      <xdr:row>0</xdr:row>
      <xdr:rowOff>0</xdr:rowOff>
    </xdr:to>
    <xdr:sp macro="" textlink="">
      <xdr:nvSpPr>
        <xdr:cNvPr id="5216" name="AutoShape 1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rrowheads="1"/>
        </xdr:cNvSpPr>
      </xdr:nvSpPr>
      <xdr:spPr bwMode="auto">
        <a:xfrm>
          <a:off x="2657475" y="0"/>
          <a:ext cx="533400" cy="0"/>
        </a:xfrm>
        <a:prstGeom prst="leftArrow">
          <a:avLst>
            <a:gd name="adj1" fmla="val 50000"/>
            <a:gd name="adj2" fmla="val -2147483648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147137</xdr:colOff>
      <xdr:row>6</xdr:row>
      <xdr:rowOff>17119</xdr:rowOff>
    </xdr:from>
    <xdr:to>
      <xdr:col>12</xdr:col>
      <xdr:colOff>27371</xdr:colOff>
      <xdr:row>9</xdr:row>
      <xdr:rowOff>8467</xdr:rowOff>
    </xdr:to>
    <xdr:sp macro="[0]!ClearAll2" textlink="">
      <xdr:nvSpPr>
        <xdr:cNvPr id="1101" name="AutoShape 77">
          <a:extLst>
            <a:ext uri="{FF2B5EF4-FFF2-40B4-BE49-F238E27FC236}">
              <a16:creationId xmlns:a16="http://schemas.microsoft.com/office/drawing/2014/main" id="{00000000-0008-0000-0200-00004D040000}"/>
            </a:ext>
          </a:extLst>
        </xdr:cNvPr>
        <xdr:cNvSpPr>
          <a:spLocks noChangeArrowheads="1"/>
        </xdr:cNvSpPr>
      </xdr:nvSpPr>
      <xdr:spPr bwMode="auto">
        <a:xfrm>
          <a:off x="10078537" y="618252"/>
          <a:ext cx="1268767" cy="457015"/>
        </a:xfrm>
        <a:prstGeom prst="bevel">
          <a:avLst>
            <a:gd name="adj" fmla="val 12500"/>
          </a:avLst>
        </a:prstGeom>
        <a:solidFill>
          <a:srgbClr val="4F81BD"/>
        </a:solidFill>
        <a:ln w="9525">
          <a:noFill/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en-US" sz="1100" b="1" i="0" u="none" strike="noStrike" baseline="0">
              <a:solidFill>
                <a:schemeClr val="bg1"/>
              </a:solidFill>
              <a:latin typeface="Arial"/>
              <a:cs typeface="Arial"/>
            </a:rPr>
            <a:t>CLEAR</a:t>
          </a:r>
        </a:p>
      </xdr:txBody>
    </xdr:sp>
    <xdr:clientData/>
  </xdr:twoCellAnchor>
  <xdr:twoCellAnchor>
    <xdr:from>
      <xdr:col>0</xdr:col>
      <xdr:colOff>0</xdr:colOff>
      <xdr:row>0</xdr:row>
      <xdr:rowOff>38100</xdr:rowOff>
    </xdr:from>
    <xdr:to>
      <xdr:col>12</xdr:col>
      <xdr:colOff>10438</xdr:colOff>
      <xdr:row>2</xdr:row>
      <xdr:rowOff>0</xdr:rowOff>
    </xdr:to>
    <xdr:sp macro="" textlink="">
      <xdr:nvSpPr>
        <xdr:cNvPr id="1122" name="AutoShape 98">
          <a:extLst>
            <a:ext uri="{FF2B5EF4-FFF2-40B4-BE49-F238E27FC236}">
              <a16:creationId xmlns:a16="http://schemas.microsoft.com/office/drawing/2014/main" id="{00000000-0008-0000-0200-000062040000}"/>
            </a:ext>
          </a:extLst>
        </xdr:cNvPr>
        <xdr:cNvSpPr>
          <a:spLocks noChangeArrowheads="1"/>
        </xdr:cNvSpPr>
      </xdr:nvSpPr>
      <xdr:spPr bwMode="auto">
        <a:xfrm>
          <a:off x="0" y="38100"/>
          <a:ext cx="11169041" cy="421188"/>
        </a:xfrm>
        <a:prstGeom prst="bevel">
          <a:avLst>
            <a:gd name="adj" fmla="val 12500"/>
          </a:avLst>
        </a:prstGeom>
        <a:solidFill>
          <a:srgbClr val="4F81BD"/>
        </a:soli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US" sz="1600" b="1" i="0" u="none" strike="noStrike" baseline="0">
              <a:solidFill>
                <a:schemeClr val="bg1"/>
              </a:solidFill>
              <a:latin typeface="Arial"/>
              <a:cs typeface="Arial"/>
            </a:rPr>
            <a:t>2026 Bestmed Medical Scheme Contribution Calculator</a:t>
          </a:r>
        </a:p>
      </xdr:txBody>
    </xdr:sp>
    <xdr:clientData/>
  </xdr:twoCellAnchor>
  <xdr:twoCellAnchor>
    <xdr:from>
      <xdr:col>5</xdr:col>
      <xdr:colOff>0</xdr:colOff>
      <xdr:row>30</xdr:row>
      <xdr:rowOff>0</xdr:rowOff>
    </xdr:from>
    <xdr:to>
      <xdr:col>11</xdr:col>
      <xdr:colOff>0</xdr:colOff>
      <xdr:row>44</xdr:row>
      <xdr:rowOff>0</xdr:rowOff>
    </xdr:to>
    <xdr:sp macro="" textlink="">
      <xdr:nvSpPr>
        <xdr:cNvPr id="1168" name="Rectangle 144">
          <a:extLst>
            <a:ext uri="{FF2B5EF4-FFF2-40B4-BE49-F238E27FC236}">
              <a16:creationId xmlns:a16="http://schemas.microsoft.com/office/drawing/2014/main" id="{00000000-0008-0000-0200-000090040000}"/>
            </a:ext>
          </a:extLst>
        </xdr:cNvPr>
        <xdr:cNvSpPr>
          <a:spLocks noChangeArrowheads="1"/>
        </xdr:cNvSpPr>
      </xdr:nvSpPr>
      <xdr:spPr bwMode="auto">
        <a:xfrm>
          <a:off x="3420341" y="3446318"/>
          <a:ext cx="4953000" cy="1593273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en-ZA"/>
        </a:p>
      </xdr:txBody>
    </xdr:sp>
    <xdr:clientData/>
  </xdr:twoCellAnchor>
  <xdr:twoCellAnchor>
    <xdr:from>
      <xdr:col>9</xdr:col>
      <xdr:colOff>29237</xdr:colOff>
      <xdr:row>30</xdr:row>
      <xdr:rowOff>51694</xdr:rowOff>
    </xdr:from>
    <xdr:to>
      <xdr:col>10</xdr:col>
      <xdr:colOff>4204</xdr:colOff>
      <xdr:row>32</xdr:row>
      <xdr:rowOff>3785</xdr:rowOff>
    </xdr:to>
    <xdr:sp macro="" textlink="">
      <xdr:nvSpPr>
        <xdr:cNvPr id="1169" name="Rectangle 145">
          <a:extLst>
            <a:ext uri="{FF2B5EF4-FFF2-40B4-BE49-F238E27FC236}">
              <a16:creationId xmlns:a16="http://schemas.microsoft.com/office/drawing/2014/main" id="{00000000-0008-0000-0200-000091040000}"/>
            </a:ext>
          </a:extLst>
        </xdr:cNvPr>
        <xdr:cNvSpPr>
          <a:spLocks noChangeArrowheads="1"/>
        </xdr:cNvSpPr>
      </xdr:nvSpPr>
      <xdr:spPr bwMode="auto">
        <a:xfrm>
          <a:off x="8098116" y="2695703"/>
          <a:ext cx="1721217" cy="247694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en-ZA"/>
        </a:p>
        <a:p>
          <a:endParaRPr lang="en-ZA"/>
        </a:p>
        <a:p>
          <a:endParaRPr lang="en-ZA"/>
        </a:p>
        <a:p>
          <a:endParaRPr lang="en-ZA"/>
        </a:p>
      </xdr:txBody>
    </xdr:sp>
    <xdr:clientData/>
  </xdr:twoCellAnchor>
  <xdr:twoCellAnchor editAs="oneCell">
    <xdr:from>
      <xdr:col>2</xdr:col>
      <xdr:colOff>43792</xdr:colOff>
      <xdr:row>28</xdr:row>
      <xdr:rowOff>8801</xdr:rowOff>
    </xdr:from>
    <xdr:to>
      <xdr:col>4</xdr:col>
      <xdr:colOff>343219</xdr:colOff>
      <xdr:row>44</xdr:row>
      <xdr:rowOff>11851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78B3458-FBA4-4B19-B1D5-52C77641D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2973" y="2521430"/>
          <a:ext cx="2746367" cy="16867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fstb1data1\HCActuaries\Actuarial\Contribution%20Calculator\Discovery%20Health%20Calculator\2005\PENM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NMED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heme1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"/>
  <dimension ref="B1:AN38"/>
  <sheetViews>
    <sheetView showGridLines="0" zoomScaleNormal="100" workbookViewId="0"/>
  </sheetViews>
  <sheetFormatPr defaultColWidth="9.21875" defaultRowHeight="13.2"/>
  <cols>
    <col min="1" max="1" width="1.77734375" style="2" customWidth="1"/>
    <col min="2" max="2" width="11.77734375" style="3" customWidth="1"/>
    <col min="3" max="3" width="10.44140625" style="1" bestFit="1" customWidth="1"/>
    <col min="4" max="5" width="7.21875" style="1" customWidth="1"/>
    <col min="6" max="6" width="1.77734375" style="1" customWidth="1"/>
    <col min="7" max="7" width="11.77734375" style="3" customWidth="1"/>
    <col min="8" max="8" width="11.77734375" style="1" customWidth="1"/>
    <col min="9" max="10" width="7.21875" style="1" customWidth="1"/>
    <col min="11" max="11" width="1.77734375" style="1" customWidth="1"/>
    <col min="12" max="12" width="11.77734375" style="3" customWidth="1"/>
    <col min="13" max="15" width="7" style="1" customWidth="1"/>
    <col min="16" max="16" width="1.77734375" style="1" customWidth="1"/>
    <col min="17" max="17" width="11.77734375" style="3" customWidth="1"/>
    <col min="18" max="18" width="7.21875" style="1" customWidth="1"/>
    <col min="19" max="19" width="6.77734375" style="1" customWidth="1"/>
    <col min="20" max="20" width="7.21875" style="2" customWidth="1"/>
    <col min="21" max="21" width="1.77734375" style="2" bestFit="1" customWidth="1"/>
    <col min="22" max="22" width="10.5546875" style="2" customWidth="1"/>
    <col min="23" max="23" width="7.77734375" style="2" customWidth="1"/>
    <col min="24" max="24" width="7.5546875" style="2" customWidth="1"/>
    <col min="25" max="25" width="8.77734375" style="2" customWidth="1"/>
    <col min="26" max="26" width="1.21875" style="2" customWidth="1"/>
    <col min="27" max="29" width="9.21875" style="2"/>
    <col min="30" max="30" width="9.21875" style="2" customWidth="1"/>
    <col min="31" max="31" width="1.21875" style="2" customWidth="1"/>
    <col min="32" max="32" width="9.21875" style="2"/>
    <col min="33" max="33" width="9.77734375" style="2" bestFit="1" customWidth="1"/>
    <col min="34" max="35" width="9.21875" style="2"/>
    <col min="36" max="36" width="2.44140625" style="2" customWidth="1"/>
    <col min="37" max="16384" width="9.21875" style="2"/>
  </cols>
  <sheetData>
    <row r="1" spans="2:40" ht="8.25" customHeight="1" thickBot="1">
      <c r="B1" s="4"/>
      <c r="G1" s="4"/>
      <c r="L1" s="4"/>
      <c r="Q1" s="4"/>
    </row>
    <row r="2" spans="2:40" ht="13.8" thickBot="1">
      <c r="B2" s="200" t="s">
        <v>45</v>
      </c>
      <c r="C2" s="201"/>
      <c r="D2" s="201"/>
      <c r="E2" s="202"/>
      <c r="G2" s="199" t="s">
        <v>59</v>
      </c>
      <c r="H2" s="199"/>
      <c r="I2" s="199"/>
      <c r="J2" s="199"/>
      <c r="L2" s="199" t="s">
        <v>27</v>
      </c>
      <c r="M2" s="199"/>
      <c r="N2" s="199"/>
      <c r="O2" s="199"/>
      <c r="Q2" s="199" t="s">
        <v>31</v>
      </c>
      <c r="R2" s="199"/>
      <c r="S2" s="199"/>
      <c r="T2" s="199"/>
      <c r="V2" s="199" t="s">
        <v>51</v>
      </c>
      <c r="W2" s="199"/>
      <c r="X2" s="199"/>
      <c r="Y2" s="199"/>
      <c r="AA2" s="199" t="s">
        <v>33</v>
      </c>
      <c r="AB2" s="199"/>
      <c r="AC2" s="199"/>
      <c r="AD2" s="199"/>
      <c r="AE2" s="1"/>
      <c r="AF2" s="199" t="s">
        <v>39</v>
      </c>
      <c r="AG2" s="199"/>
      <c r="AH2" s="199"/>
      <c r="AI2" s="199"/>
      <c r="AK2" s="198"/>
      <c r="AL2" s="198"/>
      <c r="AM2" s="198"/>
      <c r="AN2" s="198"/>
    </row>
    <row r="3" spans="2:40">
      <c r="B3" s="95" t="s">
        <v>3</v>
      </c>
      <c r="C3" s="96"/>
      <c r="D3" s="97"/>
      <c r="E3" s="97"/>
      <c r="G3" s="95" t="s">
        <v>3</v>
      </c>
      <c r="H3" s="96"/>
      <c r="I3" s="97"/>
      <c r="J3" s="97"/>
      <c r="L3" s="95" t="s">
        <v>3</v>
      </c>
      <c r="M3" s="96"/>
      <c r="N3" s="97"/>
      <c r="O3" s="97"/>
      <c r="Q3" s="95" t="s">
        <v>3</v>
      </c>
      <c r="R3" s="96"/>
      <c r="S3" s="97"/>
      <c r="T3" s="97"/>
      <c r="V3" s="95" t="s">
        <v>3</v>
      </c>
      <c r="W3" s="96"/>
      <c r="X3" s="97"/>
      <c r="Y3" s="97"/>
      <c r="AA3" s="95" t="s">
        <v>3</v>
      </c>
      <c r="AB3" s="96"/>
      <c r="AC3" s="97"/>
      <c r="AD3" s="97"/>
      <c r="AE3" s="1"/>
      <c r="AF3" s="95" t="s">
        <v>3</v>
      </c>
      <c r="AG3" s="96"/>
      <c r="AH3" s="97"/>
      <c r="AI3" s="97"/>
      <c r="AK3" s="71"/>
      <c r="AL3" s="72"/>
      <c r="AM3" s="73"/>
      <c r="AN3" s="73"/>
    </row>
    <row r="4" spans="2:40" ht="13.8" thickBot="1">
      <c r="B4" s="103" t="s">
        <v>4</v>
      </c>
      <c r="C4" s="99" t="s">
        <v>5</v>
      </c>
      <c r="D4" s="100" t="s">
        <v>1</v>
      </c>
      <c r="E4" s="100" t="s">
        <v>2</v>
      </c>
      <c r="G4" s="103" t="s">
        <v>4</v>
      </c>
      <c r="H4" s="99" t="s">
        <v>5</v>
      </c>
      <c r="I4" s="100" t="s">
        <v>1</v>
      </c>
      <c r="J4" s="100" t="s">
        <v>2</v>
      </c>
      <c r="L4" s="98" t="s">
        <v>4</v>
      </c>
      <c r="M4" s="99" t="s">
        <v>5</v>
      </c>
      <c r="N4" s="100" t="s">
        <v>1</v>
      </c>
      <c r="O4" s="100" t="s">
        <v>2</v>
      </c>
      <c r="Q4" s="98" t="s">
        <v>4</v>
      </c>
      <c r="R4" s="99" t="s">
        <v>5</v>
      </c>
      <c r="S4" s="100" t="s">
        <v>1</v>
      </c>
      <c r="T4" s="100" t="s">
        <v>2</v>
      </c>
      <c r="V4" s="98" t="s">
        <v>4</v>
      </c>
      <c r="W4" s="99" t="s">
        <v>5</v>
      </c>
      <c r="X4" s="100" t="s">
        <v>1</v>
      </c>
      <c r="Y4" s="100" t="s">
        <v>2</v>
      </c>
      <c r="AA4" s="98" t="s">
        <v>4</v>
      </c>
      <c r="AB4" s="99" t="s">
        <v>5</v>
      </c>
      <c r="AC4" s="100" t="s">
        <v>1</v>
      </c>
      <c r="AD4" s="100" t="s">
        <v>2</v>
      </c>
      <c r="AE4" s="1"/>
      <c r="AF4" s="98" t="s">
        <v>4</v>
      </c>
      <c r="AG4" s="99" t="s">
        <v>5</v>
      </c>
      <c r="AH4" s="100" t="s">
        <v>1</v>
      </c>
      <c r="AI4" s="100" t="s">
        <v>2</v>
      </c>
      <c r="AK4" s="76"/>
      <c r="AL4" s="74"/>
      <c r="AM4" s="75"/>
      <c r="AN4" s="75"/>
    </row>
    <row r="5" spans="2:40">
      <c r="B5" s="104">
        <v>0</v>
      </c>
      <c r="C5" s="104">
        <v>8655</v>
      </c>
      <c r="D5" s="104">
        <v>6967</v>
      </c>
      <c r="E5" s="104">
        <v>1489</v>
      </c>
      <c r="G5" s="104">
        <v>0</v>
      </c>
      <c r="H5" s="104">
        <v>3781</v>
      </c>
      <c r="I5" s="104">
        <v>2809</v>
      </c>
      <c r="J5" s="104">
        <v>1426</v>
      </c>
      <c r="L5" s="101">
        <v>0</v>
      </c>
      <c r="M5" s="101">
        <v>2523</v>
      </c>
      <c r="N5" s="101">
        <v>1959</v>
      </c>
      <c r="O5" s="101">
        <v>1061</v>
      </c>
      <c r="Q5" s="101">
        <v>0</v>
      </c>
      <c r="R5" s="101">
        <v>2591</v>
      </c>
      <c r="S5" s="101">
        <v>2012</v>
      </c>
      <c r="T5" s="101">
        <v>1091</v>
      </c>
      <c r="V5" s="101">
        <v>0</v>
      </c>
      <c r="W5" s="101">
        <v>1736</v>
      </c>
      <c r="X5" s="101">
        <v>1736</v>
      </c>
      <c r="Y5" s="101">
        <v>715</v>
      </c>
      <c r="AA5" s="101">
        <v>0</v>
      </c>
      <c r="AB5" s="101">
        <v>2331</v>
      </c>
      <c r="AC5" s="101">
        <v>1811</v>
      </c>
      <c r="AD5" s="101">
        <v>980</v>
      </c>
      <c r="AE5" s="1"/>
      <c r="AF5" s="101">
        <v>0</v>
      </c>
      <c r="AG5" s="101">
        <v>6334</v>
      </c>
      <c r="AH5" s="101">
        <v>5231</v>
      </c>
      <c r="AI5" s="101">
        <v>1566</v>
      </c>
      <c r="AK5" s="59"/>
      <c r="AL5" s="59"/>
      <c r="AM5" s="59"/>
      <c r="AN5" s="59"/>
    </row>
    <row r="6" spans="2:40" ht="13.8" thickBot="1">
      <c r="B6" s="101" t="s">
        <v>16</v>
      </c>
      <c r="C6" s="101">
        <v>1409</v>
      </c>
      <c r="D6" s="101">
        <v>1134</v>
      </c>
      <c r="E6" s="101">
        <v>242</v>
      </c>
      <c r="G6" s="101" t="s">
        <v>16</v>
      </c>
      <c r="H6" s="101">
        <v>1261</v>
      </c>
      <c r="I6" s="101">
        <v>937</v>
      </c>
      <c r="J6" s="101">
        <v>476</v>
      </c>
      <c r="L6" s="101"/>
      <c r="M6" s="101"/>
      <c r="N6" s="101"/>
      <c r="O6" s="101"/>
      <c r="Q6" s="101" t="s">
        <v>16</v>
      </c>
      <c r="R6" s="101">
        <v>493</v>
      </c>
      <c r="S6" s="101">
        <v>383</v>
      </c>
      <c r="T6" s="101">
        <v>208</v>
      </c>
      <c r="V6" s="101">
        <v>9001</v>
      </c>
      <c r="W6" s="101">
        <v>2024</v>
      </c>
      <c r="X6" s="101">
        <v>2024</v>
      </c>
      <c r="Y6" s="101">
        <v>860</v>
      </c>
      <c r="AA6" s="102" t="s">
        <v>16</v>
      </c>
      <c r="AB6" s="102">
        <v>444</v>
      </c>
      <c r="AC6" s="102">
        <v>345</v>
      </c>
      <c r="AD6" s="102">
        <v>187</v>
      </c>
      <c r="AE6" s="1"/>
      <c r="AF6" s="102" t="s">
        <v>16</v>
      </c>
      <c r="AG6" s="102">
        <v>1031</v>
      </c>
      <c r="AH6" s="102">
        <v>851</v>
      </c>
      <c r="AI6" s="102">
        <v>255</v>
      </c>
      <c r="AK6" s="59"/>
      <c r="AL6" s="59"/>
      <c r="AM6" s="59"/>
      <c r="AN6" s="59"/>
    </row>
    <row r="7" spans="2:40">
      <c r="B7" s="101"/>
      <c r="C7" s="101"/>
      <c r="D7" s="101"/>
      <c r="E7" s="101"/>
      <c r="G7" s="101"/>
      <c r="H7" s="101"/>
      <c r="I7" s="101"/>
      <c r="J7" s="101"/>
      <c r="L7" s="101"/>
      <c r="M7" s="101"/>
      <c r="N7" s="101"/>
      <c r="O7" s="101"/>
      <c r="Q7" s="101"/>
      <c r="R7" s="101"/>
      <c r="S7" s="101"/>
      <c r="T7" s="101"/>
      <c r="V7" s="101">
        <v>14001</v>
      </c>
      <c r="W7" s="101">
        <v>3615</v>
      </c>
      <c r="X7" s="101">
        <v>3615</v>
      </c>
      <c r="Y7" s="101">
        <v>1873</v>
      </c>
      <c r="AK7" s="59"/>
      <c r="AL7" s="59"/>
      <c r="AM7" s="59"/>
      <c r="AN7" s="59"/>
    </row>
    <row r="8" spans="2:40" ht="13.8" thickBot="1">
      <c r="B8" s="101"/>
      <c r="C8" s="101"/>
      <c r="D8" s="101"/>
      <c r="E8" s="101"/>
      <c r="G8" s="101"/>
      <c r="H8" s="101"/>
      <c r="I8" s="101"/>
      <c r="J8" s="101"/>
      <c r="L8" s="102"/>
      <c r="M8" s="102"/>
      <c r="N8" s="102"/>
      <c r="O8" s="102"/>
      <c r="Q8" s="102"/>
      <c r="R8" s="102"/>
      <c r="S8" s="102"/>
      <c r="T8" s="102"/>
      <c r="V8" s="102"/>
      <c r="W8" s="102"/>
      <c r="X8" s="102"/>
      <c r="Y8" s="102"/>
      <c r="AK8" s="60"/>
      <c r="AL8" s="60"/>
      <c r="AM8" s="60"/>
      <c r="AN8" s="60"/>
    </row>
    <row r="9" spans="2:40" ht="13.8" thickBot="1">
      <c r="B9" s="102" t="s">
        <v>63</v>
      </c>
      <c r="C9" s="102">
        <v>23028</v>
      </c>
      <c r="D9" s="102">
        <f>47590-C9</f>
        <v>24562</v>
      </c>
      <c r="E9" s="102"/>
      <c r="G9" s="102"/>
      <c r="H9" s="102"/>
      <c r="I9" s="102"/>
      <c r="J9" s="102"/>
      <c r="M9" s="3"/>
      <c r="N9" s="3"/>
      <c r="O9" s="3"/>
      <c r="R9" s="106">
        <f>SUM(R5:R6)</f>
        <v>3084</v>
      </c>
      <c r="S9" s="106">
        <f t="shared" ref="S9:T9" si="0">SUM(S5:S6)</f>
        <v>2395</v>
      </c>
      <c r="T9" s="106">
        <f t="shared" si="0"/>
        <v>1299</v>
      </c>
      <c r="V9" s="3"/>
      <c r="W9" s="3"/>
      <c r="X9" s="3"/>
      <c r="Y9" s="3"/>
      <c r="AB9" s="106">
        <f>SUM(AB5:AB6)</f>
        <v>2775</v>
      </c>
      <c r="AC9" s="106">
        <f t="shared" ref="AC9:AD9" si="1">SUM(AC5:AC6)</f>
        <v>2156</v>
      </c>
      <c r="AD9" s="106">
        <f t="shared" si="1"/>
        <v>1167</v>
      </c>
      <c r="AF9" s="70"/>
      <c r="AG9" s="106">
        <f>SUM(AG5:AG6)</f>
        <v>7365</v>
      </c>
      <c r="AH9" s="106">
        <f t="shared" ref="AH9:AI9" si="2">SUM(AH5:AH6)</f>
        <v>6082</v>
      </c>
      <c r="AI9" s="106">
        <f t="shared" si="2"/>
        <v>1821</v>
      </c>
      <c r="AK9" s="3"/>
      <c r="AL9" s="3"/>
      <c r="AM9" s="3"/>
      <c r="AN9" s="3"/>
    </row>
    <row r="10" spans="2:40" ht="16.2" customHeight="1">
      <c r="B10" s="4"/>
      <c r="C10" s="105">
        <f>SUM(C5:C6)</f>
        <v>10064</v>
      </c>
      <c r="D10" s="105">
        <f t="shared" ref="D10:E10" si="3">SUM(D5:D6)</f>
        <v>8101</v>
      </c>
      <c r="E10" s="105">
        <f t="shared" si="3"/>
        <v>1731</v>
      </c>
      <c r="G10" s="4"/>
      <c r="H10" s="105">
        <f>SUM(H5:H6)</f>
        <v>5042</v>
      </c>
      <c r="I10" s="105">
        <f t="shared" ref="I10:J10" si="4">SUM(I5:I6)</f>
        <v>3746</v>
      </c>
      <c r="J10" s="105">
        <f t="shared" si="4"/>
        <v>1902</v>
      </c>
      <c r="L10" s="4"/>
      <c r="Q10" s="4"/>
      <c r="V10" s="4"/>
      <c r="W10" s="1"/>
      <c r="X10" s="1"/>
      <c r="AK10" s="61"/>
      <c r="AL10" s="61"/>
      <c r="AM10" s="61"/>
      <c r="AN10" s="61"/>
    </row>
    <row r="11" spans="2:40" ht="13.8" thickBot="1">
      <c r="B11" s="198"/>
      <c r="C11" s="198"/>
      <c r="D11" s="198"/>
      <c r="E11" s="198"/>
      <c r="G11" s="203" t="s">
        <v>28</v>
      </c>
      <c r="H11" s="203"/>
      <c r="I11" s="203"/>
      <c r="J11" s="203"/>
      <c r="L11" s="199" t="s">
        <v>35</v>
      </c>
      <c r="M11" s="199"/>
      <c r="N11" s="199"/>
      <c r="O11" s="199"/>
      <c r="Q11" s="199" t="s">
        <v>46</v>
      </c>
      <c r="R11" s="199"/>
      <c r="S11" s="199"/>
      <c r="T11" s="199"/>
      <c r="V11" s="199" t="s">
        <v>43</v>
      </c>
      <c r="W11" s="199"/>
      <c r="X11" s="199"/>
      <c r="Y11" s="199"/>
      <c r="AA11" s="199" t="s">
        <v>41</v>
      </c>
      <c r="AB11" s="199"/>
      <c r="AC11" s="199"/>
      <c r="AD11" s="199"/>
      <c r="AF11" s="199" t="s">
        <v>37</v>
      </c>
      <c r="AG11" s="199"/>
      <c r="AH11" s="199"/>
      <c r="AI11" s="199"/>
    </row>
    <row r="12" spans="2:40">
      <c r="B12" s="71"/>
      <c r="C12" s="72"/>
      <c r="D12" s="73"/>
      <c r="E12" s="73"/>
      <c r="G12" s="95" t="s">
        <v>3</v>
      </c>
      <c r="H12" s="96"/>
      <c r="I12" s="97"/>
      <c r="J12" s="97"/>
      <c r="L12" s="95" t="s">
        <v>3</v>
      </c>
      <c r="M12" s="96"/>
      <c r="N12" s="97"/>
      <c r="O12" s="97"/>
      <c r="Q12" s="95" t="s">
        <v>3</v>
      </c>
      <c r="R12" s="96"/>
      <c r="S12" s="97"/>
      <c r="T12" s="97"/>
      <c r="V12" s="95" t="s">
        <v>3</v>
      </c>
      <c r="W12" s="96"/>
      <c r="X12" s="97"/>
      <c r="Y12" s="97"/>
      <c r="AA12" s="95" t="s">
        <v>3</v>
      </c>
      <c r="AB12" s="96"/>
      <c r="AC12" s="97"/>
      <c r="AD12" s="97"/>
      <c r="AF12" s="95" t="s">
        <v>3</v>
      </c>
      <c r="AG12" s="96"/>
      <c r="AH12" s="97"/>
      <c r="AI12" s="97"/>
    </row>
    <row r="13" spans="2:40" ht="13.8" thickBot="1">
      <c r="B13" s="76"/>
      <c r="C13" s="74"/>
      <c r="D13" s="75"/>
      <c r="E13" s="75"/>
      <c r="G13" s="98" t="s">
        <v>4</v>
      </c>
      <c r="H13" s="99" t="s">
        <v>5</v>
      </c>
      <c r="I13" s="100" t="s">
        <v>1</v>
      </c>
      <c r="J13" s="100" t="s">
        <v>2</v>
      </c>
      <c r="L13" s="98" t="s">
        <v>4</v>
      </c>
      <c r="M13" s="99" t="s">
        <v>5</v>
      </c>
      <c r="N13" s="100" t="s">
        <v>1</v>
      </c>
      <c r="O13" s="100" t="s">
        <v>2</v>
      </c>
      <c r="Q13" s="98" t="s">
        <v>4</v>
      </c>
      <c r="R13" s="99" t="s">
        <v>5</v>
      </c>
      <c r="S13" s="100" t="s">
        <v>1</v>
      </c>
      <c r="T13" s="100" t="s">
        <v>2</v>
      </c>
      <c r="V13" s="98" t="s">
        <v>4</v>
      </c>
      <c r="W13" s="99" t="s">
        <v>5</v>
      </c>
      <c r="X13" s="100" t="s">
        <v>1</v>
      </c>
      <c r="Y13" s="100" t="s">
        <v>2</v>
      </c>
      <c r="AA13" s="98" t="s">
        <v>4</v>
      </c>
      <c r="AB13" s="99" t="s">
        <v>5</v>
      </c>
      <c r="AC13" s="100" t="s">
        <v>1</v>
      </c>
      <c r="AD13" s="100" t="s">
        <v>2</v>
      </c>
      <c r="AF13" s="98" t="s">
        <v>4</v>
      </c>
      <c r="AG13" s="99" t="s">
        <v>5</v>
      </c>
      <c r="AH13" s="100" t="s">
        <v>1</v>
      </c>
      <c r="AI13" s="100" t="s">
        <v>2</v>
      </c>
    </row>
    <row r="14" spans="2:40">
      <c r="B14" s="59"/>
      <c r="C14" s="59"/>
      <c r="D14" s="59"/>
      <c r="E14" s="59"/>
      <c r="G14" s="101">
        <v>0</v>
      </c>
      <c r="H14" s="101">
        <v>2269</v>
      </c>
      <c r="I14" s="101">
        <v>1764</v>
      </c>
      <c r="J14" s="101">
        <v>956</v>
      </c>
      <c r="L14" s="101">
        <v>0</v>
      </c>
      <c r="M14" s="101">
        <v>3453</v>
      </c>
      <c r="N14" s="101">
        <v>2463</v>
      </c>
      <c r="O14" s="101">
        <v>1219</v>
      </c>
      <c r="Q14" s="101">
        <v>0</v>
      </c>
      <c r="R14" s="101">
        <v>12195</v>
      </c>
      <c r="S14" s="101">
        <v>12195</v>
      </c>
      <c r="T14" s="101">
        <v>2857</v>
      </c>
      <c r="V14" s="101">
        <v>0</v>
      </c>
      <c r="W14" s="101">
        <v>7539</v>
      </c>
      <c r="X14" s="101">
        <v>7393</v>
      </c>
      <c r="Y14" s="101">
        <v>1662</v>
      </c>
      <c r="AA14" s="101">
        <v>0</v>
      </c>
      <c r="AB14" s="101">
        <v>4807</v>
      </c>
      <c r="AC14" s="101">
        <v>3474</v>
      </c>
      <c r="AD14" s="101">
        <v>1248</v>
      </c>
      <c r="AF14" s="101">
        <v>0</v>
      </c>
      <c r="AG14" s="101">
        <v>3837</v>
      </c>
      <c r="AH14" s="101">
        <v>2737</v>
      </c>
      <c r="AI14" s="101">
        <v>1354</v>
      </c>
    </row>
    <row r="15" spans="2:40" ht="13.8" thickBot="1">
      <c r="B15" s="60"/>
      <c r="C15" s="60"/>
      <c r="D15" s="60"/>
      <c r="E15" s="60"/>
      <c r="G15" s="102"/>
      <c r="H15" s="102"/>
      <c r="I15" s="102"/>
      <c r="J15" s="102"/>
      <c r="L15" s="102" t="s">
        <v>16</v>
      </c>
      <c r="M15" s="102">
        <v>609</v>
      </c>
      <c r="N15" s="102">
        <v>435</v>
      </c>
      <c r="O15" s="102">
        <v>215</v>
      </c>
      <c r="Q15" s="102" t="s">
        <v>16</v>
      </c>
      <c r="R15" s="102">
        <v>377</v>
      </c>
      <c r="S15" s="102">
        <v>377</v>
      </c>
      <c r="T15" s="102">
        <v>88</v>
      </c>
      <c r="V15" s="102" t="s">
        <v>16</v>
      </c>
      <c r="W15" s="102">
        <v>1227</v>
      </c>
      <c r="X15" s="102">
        <v>1203</v>
      </c>
      <c r="Y15" s="102">
        <v>271</v>
      </c>
      <c r="AA15" s="102" t="s">
        <v>16</v>
      </c>
      <c r="AB15" s="102">
        <v>1127</v>
      </c>
      <c r="AC15" s="102">
        <v>815</v>
      </c>
      <c r="AD15" s="102">
        <v>293</v>
      </c>
      <c r="AF15" s="102" t="s">
        <v>16</v>
      </c>
      <c r="AG15" s="102">
        <v>677</v>
      </c>
      <c r="AH15" s="102">
        <v>483</v>
      </c>
      <c r="AI15" s="102">
        <v>239</v>
      </c>
    </row>
    <row r="16" spans="2:40">
      <c r="B16" s="63"/>
      <c r="C16" s="63"/>
      <c r="D16" s="63"/>
      <c r="E16" s="63"/>
      <c r="G16" s="107"/>
      <c r="H16" s="107"/>
      <c r="I16" s="107"/>
      <c r="J16" s="107"/>
      <c r="L16" s="107"/>
      <c r="M16" s="107"/>
      <c r="N16" s="107"/>
      <c r="O16" s="107"/>
      <c r="Q16" s="107"/>
      <c r="R16" s="107"/>
      <c r="S16" s="107"/>
      <c r="T16" s="107"/>
      <c r="V16" s="107"/>
      <c r="W16" s="107"/>
      <c r="X16" s="107"/>
      <c r="Y16" s="107"/>
      <c r="AA16" s="107"/>
      <c r="AB16" s="107"/>
      <c r="AC16" s="107"/>
      <c r="AD16" s="107"/>
      <c r="AF16" s="107"/>
      <c r="AG16" s="107"/>
      <c r="AH16" s="107"/>
      <c r="AI16" s="107"/>
    </row>
    <row r="17" spans="2:36">
      <c r="B17" s="63"/>
      <c r="C17" s="63"/>
      <c r="D17" s="63"/>
      <c r="E17" s="63"/>
      <c r="G17" s="107"/>
      <c r="H17" s="107"/>
      <c r="I17" s="107"/>
      <c r="J17" s="107"/>
      <c r="L17" s="107"/>
      <c r="M17" s="107"/>
      <c r="N17" s="107"/>
      <c r="O17" s="107"/>
      <c r="Q17" s="107" t="s">
        <v>63</v>
      </c>
      <c r="R17" s="107">
        <v>45375</v>
      </c>
      <c r="S17" s="107">
        <f>73172-R17</f>
        <v>27797</v>
      </c>
      <c r="T17" s="107"/>
      <c r="V17" s="107" t="s">
        <v>63</v>
      </c>
      <c r="W17" s="107">
        <v>17233</v>
      </c>
      <c r="X17" s="107">
        <f>34465-W17</f>
        <v>17232</v>
      </c>
      <c r="Y17" s="107">
        <v>0</v>
      </c>
      <c r="AA17" s="107" t="s">
        <v>63</v>
      </c>
      <c r="AB17" s="107">
        <v>13794</v>
      </c>
      <c r="AC17" s="107">
        <f>27586-AB17</f>
        <v>13792</v>
      </c>
      <c r="AD17" s="107">
        <v>0</v>
      </c>
      <c r="AF17" s="107"/>
      <c r="AG17" s="107"/>
      <c r="AH17" s="107"/>
      <c r="AI17" s="107"/>
    </row>
    <row r="18" spans="2:36" ht="13.8" thickBot="1">
      <c r="B18" s="4"/>
      <c r="G18" s="4"/>
      <c r="L18" s="4"/>
      <c r="M18" s="105">
        <f>SUM(M14:M15)</f>
        <v>4062</v>
      </c>
      <c r="N18" s="105">
        <f t="shared" ref="N18:O18" si="5">SUM(N14:N15)</f>
        <v>2898</v>
      </c>
      <c r="O18" s="105">
        <f t="shared" si="5"/>
        <v>1434</v>
      </c>
      <c r="Q18" s="4"/>
      <c r="R18" s="105">
        <f>SUM(R14:R15)</f>
        <v>12572</v>
      </c>
      <c r="S18" s="105">
        <f t="shared" ref="S18:T18" si="6">SUM(S14:S15)</f>
        <v>12572</v>
      </c>
      <c r="T18" s="105">
        <f t="shared" si="6"/>
        <v>2945</v>
      </c>
      <c r="V18" s="4"/>
      <c r="W18" s="105">
        <f>SUM(W14:W15)</f>
        <v>8766</v>
      </c>
      <c r="X18" s="105">
        <f t="shared" ref="X18:Y18" si="7">SUM(X14:X15)</f>
        <v>8596</v>
      </c>
      <c r="Y18" s="105">
        <f t="shared" si="7"/>
        <v>1933</v>
      </c>
      <c r="AB18" s="105">
        <f>SUM(AB14:AB15)</f>
        <v>5934</v>
      </c>
      <c r="AC18" s="105">
        <f t="shared" ref="AC18:AD18" si="8">SUM(AC14:AC15)</f>
        <v>4289</v>
      </c>
      <c r="AD18" s="105">
        <f t="shared" si="8"/>
        <v>1541</v>
      </c>
      <c r="AG18" s="105">
        <f>SUM(AG14:AG15)</f>
        <v>4514</v>
      </c>
      <c r="AH18" s="105">
        <f t="shared" ref="AH18:AI18" si="9">SUM(AH14:AH15)</f>
        <v>3220</v>
      </c>
      <c r="AI18" s="105">
        <f t="shared" si="9"/>
        <v>1593</v>
      </c>
      <c r="AJ18" s="93"/>
    </row>
    <row r="19" spans="2:36" ht="13.8" thickBot="1">
      <c r="B19" s="198"/>
      <c r="C19" s="198"/>
      <c r="D19" s="198"/>
      <c r="E19" s="198"/>
      <c r="G19" s="204"/>
      <c r="H19" s="205"/>
      <c r="I19" s="205"/>
      <c r="J19" s="206"/>
      <c r="L19" s="198"/>
      <c r="M19" s="198"/>
      <c r="N19" s="198"/>
      <c r="O19" s="198"/>
      <c r="Q19" s="198"/>
      <c r="R19" s="198"/>
      <c r="S19" s="198"/>
      <c r="T19" s="198"/>
      <c r="V19" s="199" t="s">
        <v>52</v>
      </c>
      <c r="W19" s="199"/>
      <c r="X19" s="199"/>
      <c r="Y19" s="199"/>
      <c r="AA19" s="198" t="s">
        <v>21</v>
      </c>
      <c r="AB19" s="198"/>
      <c r="AC19" s="198"/>
      <c r="AD19" s="198"/>
      <c r="AF19" s="198"/>
      <c r="AG19" s="198"/>
      <c r="AH19" s="198"/>
      <c r="AI19" s="198"/>
    </row>
    <row r="20" spans="2:36">
      <c r="B20" s="71"/>
      <c r="C20" s="72"/>
      <c r="D20" s="73"/>
      <c r="E20" s="73"/>
      <c r="G20" s="77"/>
      <c r="H20" s="78"/>
      <c r="I20" s="79"/>
      <c r="J20" s="79"/>
      <c r="L20" s="71"/>
      <c r="M20" s="72"/>
      <c r="N20" s="73"/>
      <c r="O20" s="73"/>
      <c r="Q20" s="71"/>
      <c r="R20" s="72"/>
      <c r="S20" s="73"/>
      <c r="T20" s="73"/>
      <c r="V20" s="95" t="s">
        <v>3</v>
      </c>
      <c r="W20" s="96"/>
      <c r="X20" s="97"/>
      <c r="Y20" s="97"/>
      <c r="AA20" s="71" t="s">
        <v>3</v>
      </c>
      <c r="AB20" s="72"/>
      <c r="AC20" s="73"/>
      <c r="AD20" s="73"/>
      <c r="AF20" s="71"/>
      <c r="AG20" s="72"/>
      <c r="AH20" s="73"/>
      <c r="AI20" s="73"/>
    </row>
    <row r="21" spans="2:36" ht="13.8" thickBot="1">
      <c r="B21" s="76"/>
      <c r="C21" s="74"/>
      <c r="D21" s="75"/>
      <c r="E21" s="75"/>
      <c r="G21" s="80"/>
      <c r="H21" s="81"/>
      <c r="I21" s="82"/>
      <c r="J21" s="82"/>
      <c r="L21" s="76"/>
      <c r="M21" s="74"/>
      <c r="N21" s="75"/>
      <c r="O21" s="75"/>
      <c r="Q21" s="76"/>
      <c r="R21" s="74"/>
      <c r="S21" s="75"/>
      <c r="T21" s="75"/>
      <c r="V21" s="98" t="s">
        <v>4</v>
      </c>
      <c r="W21" s="99" t="s">
        <v>5</v>
      </c>
      <c r="X21" s="100" t="s">
        <v>1</v>
      </c>
      <c r="Y21" s="100" t="s">
        <v>2</v>
      </c>
      <c r="AA21" s="76" t="s">
        <v>4</v>
      </c>
      <c r="AB21" s="74" t="s">
        <v>5</v>
      </c>
      <c r="AC21" s="75" t="s">
        <v>1</v>
      </c>
      <c r="AD21" s="75" t="s">
        <v>2</v>
      </c>
      <c r="AF21" s="76"/>
      <c r="AG21" s="74"/>
      <c r="AH21" s="75"/>
      <c r="AI21" s="75"/>
    </row>
    <row r="22" spans="2:36">
      <c r="B22" s="59"/>
      <c r="C22" s="59"/>
      <c r="D22" s="59"/>
      <c r="E22" s="59"/>
      <c r="G22" s="83"/>
      <c r="H22" s="83"/>
      <c r="I22" s="83"/>
      <c r="J22" s="83"/>
      <c r="L22" s="59"/>
      <c r="M22" s="59"/>
      <c r="N22" s="59"/>
      <c r="O22" s="59"/>
      <c r="Q22" s="59"/>
      <c r="R22" s="59"/>
      <c r="S22" s="59"/>
      <c r="T22" s="59"/>
      <c r="V22" s="101">
        <v>0</v>
      </c>
      <c r="W22" s="101">
        <v>2747</v>
      </c>
      <c r="X22" s="101">
        <v>2610</v>
      </c>
      <c r="Y22" s="101">
        <v>1653</v>
      </c>
      <c r="AA22" s="65">
        <v>0</v>
      </c>
      <c r="AB22" s="65">
        <v>14060</v>
      </c>
      <c r="AC22" s="65">
        <v>12860</v>
      </c>
      <c r="AD22" s="65">
        <v>3480</v>
      </c>
      <c r="AF22" s="59"/>
      <c r="AG22" s="59"/>
      <c r="AH22" s="59"/>
      <c r="AI22" s="59"/>
    </row>
    <row r="23" spans="2:36">
      <c r="B23" s="59"/>
      <c r="C23" s="59"/>
      <c r="D23" s="59"/>
      <c r="E23" s="59"/>
      <c r="G23" s="83"/>
      <c r="H23" s="83"/>
      <c r="I23" s="83"/>
      <c r="J23" s="83"/>
      <c r="L23" s="59"/>
      <c r="M23" s="59"/>
      <c r="N23" s="59"/>
      <c r="O23" s="59"/>
      <c r="Q23" s="59"/>
      <c r="R23" s="59"/>
      <c r="S23" s="59"/>
      <c r="T23" s="59"/>
      <c r="V23" s="101">
        <v>5501</v>
      </c>
      <c r="W23" s="101">
        <v>3300</v>
      </c>
      <c r="X23" s="101">
        <v>3000</v>
      </c>
      <c r="Y23" s="101">
        <v>1759</v>
      </c>
      <c r="AA23" s="65"/>
      <c r="AB23" s="65"/>
      <c r="AC23" s="65"/>
      <c r="AD23" s="65"/>
      <c r="AF23" s="59"/>
      <c r="AG23" s="59"/>
      <c r="AH23" s="59"/>
      <c r="AI23" s="59"/>
    </row>
    <row r="24" spans="2:36" ht="13.8" thickBot="1">
      <c r="B24" s="60"/>
      <c r="C24" s="60"/>
      <c r="D24" s="60"/>
      <c r="E24" s="60"/>
      <c r="G24" s="84"/>
      <c r="H24" s="84"/>
      <c r="I24" s="84"/>
      <c r="J24" s="84"/>
      <c r="L24" s="60"/>
      <c r="M24" s="60"/>
      <c r="N24" s="60"/>
      <c r="O24" s="60"/>
      <c r="Q24" s="60"/>
      <c r="R24" s="60"/>
      <c r="S24" s="60"/>
      <c r="T24" s="60"/>
      <c r="V24" s="102">
        <v>8501</v>
      </c>
      <c r="W24" s="102">
        <v>3516</v>
      </c>
      <c r="X24" s="102">
        <v>3165</v>
      </c>
      <c r="Y24" s="102">
        <v>1759</v>
      </c>
      <c r="AA24" s="67"/>
      <c r="AB24" s="67"/>
      <c r="AC24" s="67"/>
      <c r="AD24" s="67"/>
      <c r="AF24" s="60"/>
      <c r="AG24" s="60"/>
      <c r="AH24" s="60"/>
      <c r="AI24" s="60"/>
    </row>
    <row r="25" spans="2:36" ht="18" customHeight="1">
      <c r="B25" s="4"/>
      <c r="G25" s="4"/>
      <c r="K25" s="2"/>
      <c r="L25" s="2"/>
      <c r="P25" s="2"/>
      <c r="Q25" s="2"/>
      <c r="T25" s="1"/>
    </row>
    <row r="26" spans="2:36" ht="13.8" thickBot="1">
      <c r="B26" s="198"/>
      <c r="C26" s="198"/>
      <c r="D26" s="198"/>
      <c r="E26" s="198"/>
      <c r="G26" s="198"/>
      <c r="H26" s="198"/>
      <c r="I26" s="198"/>
      <c r="J26" s="198"/>
      <c r="K26" s="2"/>
      <c r="L26" s="198"/>
      <c r="M26" s="198"/>
      <c r="N26" s="198"/>
      <c r="O26" s="198"/>
      <c r="P26" s="2"/>
      <c r="Q26" s="198"/>
      <c r="R26" s="198"/>
      <c r="S26" s="198"/>
      <c r="T26" s="198"/>
      <c r="V26" s="198"/>
      <c r="W26" s="198"/>
      <c r="X26" s="198"/>
      <c r="Y26" s="198"/>
      <c r="AA26" s="1"/>
      <c r="AB26" s="1"/>
      <c r="AC26" s="1"/>
    </row>
    <row r="27" spans="2:36">
      <c r="B27" s="71"/>
      <c r="C27" s="72"/>
      <c r="D27" s="73"/>
      <c r="E27" s="73"/>
      <c r="G27" s="71"/>
      <c r="H27" s="72"/>
      <c r="I27" s="73"/>
      <c r="J27" s="73"/>
      <c r="K27" s="2"/>
      <c r="L27" s="71"/>
      <c r="M27" s="72"/>
      <c r="N27" s="73"/>
      <c r="O27" s="73"/>
      <c r="P27" s="2"/>
      <c r="Q27" s="71"/>
      <c r="R27" s="72"/>
      <c r="S27" s="73"/>
      <c r="T27" s="73"/>
      <c r="V27" s="71"/>
      <c r="W27" s="72"/>
      <c r="X27" s="73"/>
      <c r="Y27" s="73"/>
    </row>
    <row r="28" spans="2:36" ht="13.8" thickBot="1">
      <c r="B28" s="76"/>
      <c r="C28" s="74"/>
      <c r="D28" s="75"/>
      <c r="E28" s="75"/>
      <c r="G28" s="76"/>
      <c r="H28" s="74"/>
      <c r="I28" s="75"/>
      <c r="J28" s="75"/>
      <c r="K28" s="2"/>
      <c r="L28" s="76"/>
      <c r="M28" s="74"/>
      <c r="N28" s="75"/>
      <c r="O28" s="75"/>
      <c r="P28" s="2"/>
      <c r="Q28" s="76"/>
      <c r="R28" s="74"/>
      <c r="S28" s="75"/>
      <c r="T28" s="75"/>
      <c r="V28" s="76"/>
      <c r="W28" s="74"/>
      <c r="X28" s="75"/>
      <c r="Y28" s="75"/>
    </row>
    <row r="29" spans="2:36">
      <c r="B29" s="7"/>
      <c r="C29" s="7"/>
      <c r="D29" s="7"/>
      <c r="E29" s="7"/>
      <c r="G29" s="59"/>
      <c r="H29" s="59"/>
      <c r="I29" s="59"/>
      <c r="J29" s="59"/>
      <c r="K29" s="2"/>
      <c r="L29" s="59"/>
      <c r="M29" s="59"/>
      <c r="N29" s="59"/>
      <c r="O29" s="59"/>
      <c r="P29" s="61"/>
      <c r="Q29" s="59"/>
      <c r="R29" s="59"/>
      <c r="S29" s="59"/>
      <c r="T29" s="59"/>
      <c r="V29" s="59"/>
      <c r="W29" s="59"/>
      <c r="X29" s="59"/>
      <c r="Y29" s="59"/>
    </row>
    <row r="30" spans="2:36" ht="13.8" thickBot="1">
      <c r="B30" s="6"/>
      <c r="C30" s="8"/>
      <c r="D30" s="8"/>
      <c r="E30" s="8"/>
      <c r="G30" s="8"/>
      <c r="H30" s="8"/>
      <c r="I30" s="8"/>
      <c r="J30" s="8"/>
      <c r="K30" s="2"/>
      <c r="L30" s="8"/>
      <c r="M30" s="8"/>
      <c r="N30" s="8"/>
      <c r="O30" s="8"/>
      <c r="P30" s="2"/>
      <c r="Q30" s="8"/>
      <c r="R30" s="8"/>
      <c r="S30" s="8"/>
      <c r="T30" s="8"/>
      <c r="V30" s="60"/>
      <c r="W30" s="60"/>
      <c r="X30" s="60"/>
      <c r="Y30" s="60"/>
    </row>
    <row r="31" spans="2:36" ht="8.25" customHeight="1" thickBot="1"/>
    <row r="32" spans="2:36" ht="13.8" thickBot="1">
      <c r="B32" s="207" t="s">
        <v>49</v>
      </c>
      <c r="C32" s="207"/>
      <c r="D32" s="92" t="s">
        <v>57</v>
      </c>
      <c r="G32" s="71"/>
      <c r="H32" s="73"/>
      <c r="L32" s="198"/>
      <c r="M32" s="198"/>
      <c r="W32" s="1"/>
      <c r="X32" s="1"/>
      <c r="Y32" s="1"/>
    </row>
    <row r="33" spans="2:13">
      <c r="B33" s="85">
        <v>0</v>
      </c>
      <c r="C33" s="85">
        <v>149</v>
      </c>
      <c r="G33" s="62"/>
      <c r="H33" s="62"/>
      <c r="L33" s="62"/>
      <c r="M33" s="62"/>
    </row>
    <row r="34" spans="2:13" ht="13.8" thickBot="1">
      <c r="B34" s="84">
        <v>1</v>
      </c>
      <c r="C34" s="83">
        <v>149</v>
      </c>
      <c r="G34" s="60"/>
      <c r="H34" s="59"/>
      <c r="L34" s="60"/>
      <c r="M34" s="59"/>
    </row>
    <row r="35" spans="2:13" ht="13.8" thickBot="1">
      <c r="B35" s="86"/>
      <c r="C35" s="87">
        <f>VLOOKUP((IF(Children="",0,Children)+IF(Adults="",0,Adults)),Vitality,2)</f>
        <v>149</v>
      </c>
      <c r="D35" s="12"/>
      <c r="G35" s="63"/>
      <c r="H35" s="64"/>
      <c r="L35" s="63"/>
      <c r="M35" s="64"/>
    </row>
    <row r="38" spans="2:13">
      <c r="B38" s="2"/>
      <c r="C38" s="2"/>
      <c r="D38" s="2"/>
      <c r="E38" s="2"/>
    </row>
  </sheetData>
  <sheetProtection selectLockedCells="1"/>
  <mergeCells count="29">
    <mergeCell ref="AA19:AD19"/>
    <mergeCell ref="AF11:AI11"/>
    <mergeCell ref="L32:M32"/>
    <mergeCell ref="B32:C32"/>
    <mergeCell ref="B26:E26"/>
    <mergeCell ref="G26:J26"/>
    <mergeCell ref="AF19:AI19"/>
    <mergeCell ref="B2:E2"/>
    <mergeCell ref="G2:J2"/>
    <mergeCell ref="G11:J11"/>
    <mergeCell ref="B19:E19"/>
    <mergeCell ref="G19:J19"/>
    <mergeCell ref="B11:E11"/>
    <mergeCell ref="AK2:AN2"/>
    <mergeCell ref="L26:O26"/>
    <mergeCell ref="Q26:T26"/>
    <mergeCell ref="Q2:T2"/>
    <mergeCell ref="L2:O2"/>
    <mergeCell ref="Q11:T11"/>
    <mergeCell ref="Q19:T19"/>
    <mergeCell ref="L11:O11"/>
    <mergeCell ref="L19:O19"/>
    <mergeCell ref="AA2:AD2"/>
    <mergeCell ref="AF2:AI2"/>
    <mergeCell ref="V2:Y2"/>
    <mergeCell ref="V11:Y11"/>
    <mergeCell ref="V19:Y19"/>
    <mergeCell ref="V26:Y26"/>
    <mergeCell ref="AA11:AD11"/>
  </mergeCells>
  <phoneticPr fontId="0" type="noConversion"/>
  <pageMargins left="0.75" right="0.75" top="1" bottom="1" header="0.5" footer="0.5"/>
  <pageSetup paperSize="9" orientation="portrait" horizont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T21"/>
  <sheetViews>
    <sheetView zoomScaleNormal="100" workbookViewId="0"/>
  </sheetViews>
  <sheetFormatPr defaultColWidth="7.77734375" defaultRowHeight="11.4"/>
  <cols>
    <col min="1" max="1" width="1.77734375" style="5" customWidth="1"/>
    <col min="2" max="2" width="14.77734375" style="66" hidden="1" customWidth="1"/>
    <col min="3" max="3" width="18.21875" style="66" customWidth="1"/>
    <col min="4" max="4" width="14.77734375" style="66" bestFit="1" customWidth="1"/>
    <col min="5" max="5" width="15.5546875" style="66" bestFit="1" customWidth="1"/>
    <col min="6" max="6" width="18.5546875" style="66" bestFit="1" customWidth="1"/>
    <col min="7" max="9" width="15.77734375" style="66" customWidth="1"/>
    <col min="10" max="10" width="20.21875" style="66" bestFit="1" customWidth="1"/>
    <col min="11" max="13" width="17.5546875" style="66" bestFit="1" customWidth="1"/>
    <col min="14" max="16" width="14.77734375" style="66" bestFit="1" customWidth="1"/>
    <col min="17" max="17" width="7.77734375" style="5"/>
    <col min="18" max="18" width="15.77734375" style="5" bestFit="1" customWidth="1"/>
    <col min="19" max="19" width="11.44140625" style="69" customWidth="1"/>
    <col min="20" max="16384" width="7.77734375" style="5"/>
  </cols>
  <sheetData>
    <row r="2" spans="2:20">
      <c r="O2" s="91" t="s">
        <v>56</v>
      </c>
    </row>
    <row r="3" spans="2:20" s="11" customFormat="1" ht="12.6" thickBot="1">
      <c r="B3" s="52" t="s">
        <v>26</v>
      </c>
      <c r="C3" s="52" t="s">
        <v>33</v>
      </c>
      <c r="D3" s="52" t="s">
        <v>28</v>
      </c>
      <c r="E3" s="52" t="s">
        <v>31</v>
      </c>
      <c r="F3" s="52" t="s">
        <v>27</v>
      </c>
      <c r="G3" s="52" t="s">
        <v>35</v>
      </c>
      <c r="H3" s="52" t="s">
        <v>37</v>
      </c>
      <c r="I3" s="52" t="s">
        <v>58</v>
      </c>
      <c r="J3" s="52" t="s">
        <v>39</v>
      </c>
      <c r="K3" s="52" t="s">
        <v>41</v>
      </c>
      <c r="L3" s="52" t="s">
        <v>43</v>
      </c>
      <c r="M3" s="52" t="s">
        <v>46</v>
      </c>
      <c r="N3" s="52" t="s">
        <v>52</v>
      </c>
      <c r="O3" s="52" t="s">
        <v>51</v>
      </c>
      <c r="P3" s="52" t="s">
        <v>45</v>
      </c>
      <c r="S3" s="68"/>
    </row>
    <row r="4" spans="2:20" ht="12.6" thickBot="1">
      <c r="B4" s="53" t="s">
        <v>26</v>
      </c>
      <c r="C4" s="53" t="s">
        <v>34</v>
      </c>
      <c r="D4" s="53" t="s">
        <v>30</v>
      </c>
      <c r="E4" s="53" t="s">
        <v>32</v>
      </c>
      <c r="F4" s="54" t="s">
        <v>29</v>
      </c>
      <c r="G4" s="55" t="s">
        <v>36</v>
      </c>
      <c r="H4" s="56" t="s">
        <v>38</v>
      </c>
      <c r="I4" s="56" t="s">
        <v>59</v>
      </c>
      <c r="J4" s="56" t="s">
        <v>40</v>
      </c>
      <c r="K4" s="54" t="s">
        <v>42</v>
      </c>
      <c r="L4" s="54" t="s">
        <v>44</v>
      </c>
      <c r="M4" s="54" t="s">
        <v>47</v>
      </c>
      <c r="N4" s="53" t="s">
        <v>52</v>
      </c>
      <c r="O4" s="53" t="s">
        <v>51</v>
      </c>
      <c r="P4" s="53" t="s">
        <v>48</v>
      </c>
    </row>
    <row r="5" spans="2:20" ht="12.6" thickBot="1">
      <c r="B5" s="9" t="str">
        <f ca="1">IF('Calculation Sheet'!$J$11="R 0 - R 500",VLOOKUP(0,INDIRECT(B4),2)+IF(Adults="",0,Adults)*VLOOKUP(0,INDIRECT(B4),3)+IF(Children="",0,Children)*VLOOKUP(0,INDIRECT(B4),4),IF(('Calculation Sheet'!$J$11="R 501 - R 6 550"),VLOOKUP(501,INDIRECT(B4),2)+IF(Adults="",0,Adults)*VLOOKUP(501,INDIRECT(B4),3)+IF(Children="",0,Children)*VLOOKUP(501,INDIRECT(B4),4),IF('Calculation Sheet'!$J$11="R 6 551 - R 10 650",VLOOKUP(6551,INDIRECT(B4),2)+IF(Adults="",0,Adults)*VLOOKUP(6551,INDIRECT(B4),3)+IF(Children="",0,Children)*VLOOKUP(6551,INDIRECT(B4),4),IF('Calculation Sheet'!$J$11="R 10 651 - R 14 550",VLOOKUP(10651,INDIRECT(B4),2)+IF(Adults="",0,Adults)*VLOOKUP(10651,INDIRECT(B4),3)+IF(Children="",0,Children)*VLOOKUP(10651,INDIRECT(B4),4),IF('Calculation Sheet'!$J$11="R 14 551 +",VLOOKUP(14551,INDIRECT(B4),2)+IF(Adults="",0,Adults)*VLOOKUP(14551,INDIRECT(B4),3)+IF(Children="",0,Children)*VLOOKUP(14551,INDIRECT(B4),4),"ERROR")))))</f>
        <v>ERROR</v>
      </c>
      <c r="C5" s="88">
        <f ca="1">VLOOKUP(0,INDIRECT(C4),2)+IF(Adults="",0,Adults)*VLOOKUP(0,INDIRECT(C4),3)+MIN(IF(Children="",0,Children),3)*VLOOKUP(0,INDIRECT(C4),4)</f>
        <v>2331</v>
      </c>
      <c r="D5" s="88">
        <f t="shared" ref="D5:P5" ca="1" si="0">VLOOKUP(0,INDIRECT(D4),2)+IF(Adults="",0,Adults)*VLOOKUP(0,INDIRECT(D4),3)+MIN(IF(Children="",0,Children),3)*VLOOKUP(0,INDIRECT(D4),4)</f>
        <v>2269</v>
      </c>
      <c r="E5" s="88">
        <f t="shared" ca="1" si="0"/>
        <v>2591</v>
      </c>
      <c r="F5" s="88">
        <f t="shared" ca="1" si="0"/>
        <v>2523</v>
      </c>
      <c r="G5" s="88">
        <f t="shared" ca="1" si="0"/>
        <v>3453</v>
      </c>
      <c r="H5" s="88">
        <f t="shared" ca="1" si="0"/>
        <v>3837</v>
      </c>
      <c r="I5" s="88">
        <f t="shared" ca="1" si="0"/>
        <v>3781</v>
      </c>
      <c r="J5" s="88">
        <f t="shared" ca="1" si="0"/>
        <v>6334</v>
      </c>
      <c r="K5" s="88">
        <f t="shared" ca="1" si="0"/>
        <v>4807</v>
      </c>
      <c r="L5" s="88">
        <f t="shared" ca="1" si="0"/>
        <v>7539</v>
      </c>
      <c r="M5" s="88">
        <f t="shared" ca="1" si="0"/>
        <v>12195</v>
      </c>
      <c r="N5" s="90" t="str">
        <f ca="1">IF('Calculation Sheet'!$J$11='Calculation Sheet'!T55,VLOOKUP(0,INDIRECT(N4),2)+IF(Adults="",0,Adults)*VLOOKUP(0,INDIRECT(N4),3)+IF(Children="",0,MIN(3,Children))*VLOOKUP(0,INDIRECT(N4),4),IF(('Calculation Sheet'!$J$11='Calculation Sheet'!T56),VLOOKUP(Conts!V23,INDIRECT(N4),2)+IF(Adults="",0,Adults)*VLOOKUP(Conts!V23,INDIRECT(N4),3)+IF(Children="",0,MIN(3,Children))*VLOOKUP(Conts!V23,INDIRECT(N4),4),IF('Calculation Sheet'!$J$11='Calculation Sheet'!T57,VLOOKUP(Conts!V24,INDIRECT(N4),2)+IF(Adults="",0,Adults)*VLOOKUP(Conts!V24,INDIRECT(N4),3)+IF(Children="",0,MIN(3,Children))*VLOOKUP(Conts!V24,INDIRECT(N4),4),"ERROR")))</f>
        <v>ERROR</v>
      </c>
      <c r="O5" s="90" t="str">
        <f ca="1">IF('Calculation Sheet'!$J$11="R 0 - R 9 000",VLOOKUP(0,INDIRECT(O4),2)+IF(Adults="",0,Adults)*VLOOKUP(0,INDIRECT(O4),3)+IF(Children="",0,Children)*VLOOKUP(0,INDIRECT(O4),4),IF(('Calculation Sheet'!$J$11="R 9 001 - R 14 000"),VLOOKUP(9001,INDIRECT(O4),2)+IF(Adults="",0,Adults)*VLOOKUP(9001,INDIRECT(O4),3)+IF(Children="",0,Children)*VLOOKUP(9001,INDIRECT(O4),4),IF('Calculation Sheet'!$J$11="R 14 001 +",VLOOKUP(14001,INDIRECT(O4),2)+IF(Adults="",0,Adults)*VLOOKUP(14001,INDIRECT(O4),3)+IF(Children="",0,Children)*VLOOKUP(14001,INDIRECT(O4),4),"ERROR")))</f>
        <v>ERROR</v>
      </c>
      <c r="P5" s="88">
        <f t="shared" ca="1" si="0"/>
        <v>8655</v>
      </c>
      <c r="T5" s="69"/>
    </row>
    <row r="6" spans="2:20"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T6" s="69"/>
    </row>
    <row r="7" spans="2:20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T7" s="69"/>
    </row>
    <row r="8" spans="2:20" s="11" customFormat="1" ht="12.6" thickBot="1">
      <c r="B8" s="52" t="str">
        <f t="shared" ref="B8:K8" si="1">B3</f>
        <v>BonCap</v>
      </c>
      <c r="C8" s="52" t="str">
        <f t="shared" si="1"/>
        <v>Beat 2 (Network)</v>
      </c>
      <c r="D8" s="52" t="str">
        <f t="shared" si="1"/>
        <v>Beat 1 (Network)</v>
      </c>
      <c r="E8" s="52" t="str">
        <f t="shared" si="1"/>
        <v>Beat 2 (Non-Network)</v>
      </c>
      <c r="F8" s="52" t="str">
        <f t="shared" si="1"/>
        <v>Beat 1 (Non-Network)</v>
      </c>
      <c r="G8" s="52" t="str">
        <f t="shared" si="1"/>
        <v>Beat 3 (Network)</v>
      </c>
      <c r="H8" s="52" t="s">
        <v>37</v>
      </c>
      <c r="I8" s="52" t="s">
        <v>58</v>
      </c>
      <c r="J8" s="52" t="str">
        <f t="shared" si="1"/>
        <v>Beat 4 (Non-Network)</v>
      </c>
      <c r="K8" s="52" t="str">
        <f t="shared" si="1"/>
        <v>Pace 1</v>
      </c>
      <c r="L8" s="52" t="str">
        <f t="shared" ref="L8:O9" si="2">L3</f>
        <v>Pace 2</v>
      </c>
      <c r="M8" s="52" t="str">
        <f t="shared" si="2"/>
        <v>Pace 4</v>
      </c>
      <c r="N8" s="52" t="str">
        <f t="shared" si="2"/>
        <v>Rhythm2</v>
      </c>
      <c r="O8" s="52" t="str">
        <f t="shared" si="2"/>
        <v>Rhythm1</v>
      </c>
      <c r="P8" s="52" t="str">
        <f t="shared" ref="P8" si="3">P3</f>
        <v>Pace 3</v>
      </c>
      <c r="Q8" s="5"/>
      <c r="R8" s="5"/>
      <c r="S8" s="69"/>
    </row>
    <row r="9" spans="2:20" ht="16.5" customHeight="1" thickBot="1">
      <c r="B9" s="53" t="str">
        <f t="shared" ref="B9:J9" si="4">B4</f>
        <v>BonCap</v>
      </c>
      <c r="C9" s="53" t="str">
        <f t="shared" si="4"/>
        <v>Beat2Network</v>
      </c>
      <c r="D9" s="53" t="str">
        <f t="shared" si="4"/>
        <v>Beat1Network</v>
      </c>
      <c r="E9" s="53" t="str">
        <f t="shared" si="4"/>
        <v>Beat2NonNetwork</v>
      </c>
      <c r="F9" s="54" t="str">
        <f t="shared" si="4"/>
        <v>Beat1NonNetwork</v>
      </c>
      <c r="G9" s="54" t="str">
        <f t="shared" si="4"/>
        <v>Beat3Network</v>
      </c>
      <c r="H9" s="56" t="str">
        <f t="shared" si="4"/>
        <v>Beat3NonNetwork</v>
      </c>
      <c r="I9" s="56" t="str">
        <f t="shared" si="4"/>
        <v>Beat3Plus</v>
      </c>
      <c r="J9" s="56" t="str">
        <f t="shared" si="4"/>
        <v>Beat4NonNetwork</v>
      </c>
      <c r="K9" s="56" t="str">
        <f t="shared" ref="K9" si="5">K4</f>
        <v>Pace1</v>
      </c>
      <c r="L9" s="56" t="str">
        <f t="shared" si="2"/>
        <v>Pace2</v>
      </c>
      <c r="M9" s="56" t="str">
        <f t="shared" si="2"/>
        <v>Pace4</v>
      </c>
      <c r="N9" s="53" t="str">
        <f>N4</f>
        <v>Rhythm2</v>
      </c>
      <c r="O9" s="53" t="str">
        <f>O4</f>
        <v>Rhythm1</v>
      </c>
      <c r="P9" s="53" t="str">
        <f>P4</f>
        <v>Pace3</v>
      </c>
    </row>
    <row r="10" spans="2:20" ht="12.6" thickBot="1">
      <c r="B10" s="10" t="s">
        <v>17</v>
      </c>
      <c r="C10" s="88">
        <f ca="1">(VLOOKUP("MSA",INDIRECT(C4),2,FALSE)+IF(Adults="",0,Adults)*VLOOKUP("MSA",INDIRECT(C4),3,FALSE)+MIN(IF(Children="",0,Children),3)*VLOOKUP("MSA",INDIRECT(C4),4,FALSE))*IF('Calculation Sheet'!$J$9="",12,VLOOKUP('Calculation Sheet'!$J$9,'Calculation Sheet'!$V$44:$W$55,2,FALSE))</f>
        <v>5328</v>
      </c>
      <c r="D10" s="10" t="s">
        <v>17</v>
      </c>
      <c r="E10" s="88">
        <f ca="1">(VLOOKUP("MSA",INDIRECT(E4),2,FALSE)+IF(Adults="",0,Adults)*VLOOKUP("MSA",INDIRECT(E4),3,FALSE)+MIN(IF(Children="",0,Children),3)*VLOOKUP("MSA",INDIRECT(E4),4,FALSE))*IF('Calculation Sheet'!$J$9="",12,VLOOKUP('Calculation Sheet'!$J$9,'Calculation Sheet'!$V$44:$W$55,2,FALSE))</f>
        <v>5916</v>
      </c>
      <c r="F10" s="10" t="s">
        <v>17</v>
      </c>
      <c r="G10" s="88">
        <f ca="1">(VLOOKUP("MSA",INDIRECT(G4),2,FALSE)+IF(Adults="",0,Adults)*VLOOKUP("MSA",INDIRECT(G4),3,FALSE)+MIN(IF(Children="",0,Children),3)*VLOOKUP("MSA",INDIRECT(G4),4,FALSE))*IF('Calculation Sheet'!$J$9="",12,VLOOKUP('Calculation Sheet'!$J$9,'Calculation Sheet'!$V$44:$W$55,2,FALSE))</f>
        <v>7308</v>
      </c>
      <c r="H10" s="88">
        <f ca="1">(VLOOKUP("MSA",INDIRECT(H4),2,FALSE)+IF(Adults="",0,Adults)*VLOOKUP("MSA",INDIRECT(H4),3,FALSE)+MIN(IF(Children="",0,Children),3)*VLOOKUP("MSA",INDIRECT(H4),4,FALSE))*IF('Calculation Sheet'!$J$9="",12,VLOOKUP('Calculation Sheet'!$J$9,'Calculation Sheet'!$V$44:$W$55,2,FALSE))</f>
        <v>8124</v>
      </c>
      <c r="I10" s="88">
        <f ca="1">(VLOOKUP("MSA",INDIRECT(I4),2,FALSE)+IF(Adults="",0,Adults)*VLOOKUP("MSA",INDIRECT(I4),3,FALSE)+MIN(IF(Children="",0,Children),3)*VLOOKUP("MSA",INDIRECT(I4),4,FALSE))*IF('Calculation Sheet'!$J$9="",12,VLOOKUP('Calculation Sheet'!$J$9,'Calculation Sheet'!$V$44:$W$55,2,FALSE))</f>
        <v>15132</v>
      </c>
      <c r="J10" s="88">
        <f ca="1">(VLOOKUP("MSA",INDIRECT(J4),2,FALSE)+IF(Adults="",0,Adults)*VLOOKUP("MSA",INDIRECT(J4),3,FALSE)+MIN(IF(Children="",0,Children),3)*VLOOKUP("MSA",INDIRECT(J4),4,FALSE))*IF('Calculation Sheet'!$J$9="",12,VLOOKUP('Calculation Sheet'!$J$9,'Calculation Sheet'!$V$44:$W$55,2,FALSE))</f>
        <v>12372</v>
      </c>
      <c r="K10" s="88">
        <f ca="1">(VLOOKUP("MSA",INDIRECT(K4),2,FALSE)+IF(Adults="",0,Adults)*VLOOKUP("MSA",INDIRECT(K4),3,FALSE)+MIN(IF(Children="",0,Children),3)*VLOOKUP("MSA",INDIRECT(K4),4,FALSE))*IF('Calculation Sheet'!$J$9="",12,VLOOKUP('Calculation Sheet'!$J$9,'Calculation Sheet'!$V$44:$W$55,2,FALSE))</f>
        <v>13524</v>
      </c>
      <c r="L10" s="88">
        <f ca="1">(VLOOKUP("MSA",INDIRECT(L4),2,FALSE)+IF(Adults="",0,Adults)*VLOOKUP("MSA",INDIRECT(L4),3,FALSE)+MIN(IF(Children="",0,Children),3)*VLOOKUP("MSA",INDIRECT(L4),4,FALSE))*IF('Calculation Sheet'!$J$9="",12,VLOOKUP('Calculation Sheet'!$J$9,'Calculation Sheet'!$V$44:$W$55,2,FALSE))</f>
        <v>14724</v>
      </c>
      <c r="M10" s="88">
        <f ca="1">(VLOOKUP("MSA",INDIRECT(M4),2,FALSE)+IF(Adults="",0,Adults)*VLOOKUP("MSA",INDIRECT(M4),3,FALSE)+MIN(IF(Children="",0,Children),3)*VLOOKUP("MSA",INDIRECT(M4),4,FALSE))*IF('Calculation Sheet'!$J$9="",12,VLOOKUP('Calculation Sheet'!$J$9,'Calculation Sheet'!$V$44:$W$55,2,FALSE))</f>
        <v>4524</v>
      </c>
      <c r="N10" s="10" t="s">
        <v>17</v>
      </c>
      <c r="O10" s="10" t="s">
        <v>17</v>
      </c>
      <c r="P10" s="88">
        <f ca="1">(VLOOKUP("MSA",INDIRECT(P4),2,FALSE)+IF(Adults="",0,Adults)*VLOOKUP("MSA",INDIRECT(P4),3,FALSE)+MIN(IF(Children="",0,Children),3)*VLOOKUP("MSA",INDIRECT(P4),4,FALSE))*IF('Calculation Sheet'!$J$9="",12,VLOOKUP('Calculation Sheet'!$J$9,'Calculation Sheet'!$V$44:$W$55,2,FALSE))</f>
        <v>16908</v>
      </c>
    </row>
    <row r="11" spans="2:20" ht="12" thickBot="1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2:20" ht="12.6" thickBot="1">
      <c r="B12" s="10" t="s">
        <v>19</v>
      </c>
      <c r="C12" s="10" t="s">
        <v>64</v>
      </c>
      <c r="D12" s="10" t="s">
        <v>17</v>
      </c>
      <c r="E12" s="10" t="s">
        <v>64</v>
      </c>
      <c r="F12" s="10" t="s">
        <v>17</v>
      </c>
      <c r="G12" s="10" t="s">
        <v>64</v>
      </c>
      <c r="H12" s="10" t="s">
        <v>64</v>
      </c>
      <c r="I12" s="10" t="s">
        <v>64</v>
      </c>
      <c r="J12" s="10" t="s">
        <v>64</v>
      </c>
      <c r="K12" s="10">
        <f>Conts!AB17+IF(SUM(Adults+Children)&gt;0,Conts!AC17,0)</f>
        <v>13794</v>
      </c>
      <c r="L12" s="10">
        <f>Conts!W17+IF(SUM(Adults+Children)&gt;0,Conts!X17,0)</f>
        <v>17233</v>
      </c>
      <c r="M12" s="10">
        <f>Conts!R17+IF(SUM(Adults+Children)&gt;0,Conts!S17,0)</f>
        <v>45375</v>
      </c>
      <c r="N12" s="10" t="s">
        <v>17</v>
      </c>
      <c r="O12" s="10" t="s">
        <v>17</v>
      </c>
      <c r="P12" s="10">
        <f>Conts!C9+IF(SUM(Adults+Children)&gt;0,Conts!D9,0)</f>
        <v>23028</v>
      </c>
    </row>
    <row r="13" spans="2:20" ht="12" thickBot="1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2:20" ht="12.6" thickBot="1">
      <c r="B14" s="10" t="s">
        <v>17</v>
      </c>
      <c r="C14" s="10" t="s">
        <v>17</v>
      </c>
      <c r="D14" s="10" t="s">
        <v>17</v>
      </c>
      <c r="E14" s="10" t="s">
        <v>17</v>
      </c>
      <c r="F14" s="10" t="s">
        <v>17</v>
      </c>
      <c r="G14" s="10" t="s">
        <v>17</v>
      </c>
      <c r="H14" s="10" t="s">
        <v>17</v>
      </c>
      <c r="I14" s="10" t="s">
        <v>17</v>
      </c>
      <c r="J14" s="10" t="s">
        <v>17</v>
      </c>
      <c r="K14" s="10" t="s">
        <v>17</v>
      </c>
      <c r="L14" s="10" t="s">
        <v>17</v>
      </c>
      <c r="M14" s="10" t="s">
        <v>17</v>
      </c>
      <c r="N14" s="10" t="s">
        <v>17</v>
      </c>
      <c r="O14" s="10" t="s">
        <v>17</v>
      </c>
      <c r="P14" s="10" t="s">
        <v>17</v>
      </c>
    </row>
    <row r="15" spans="2:20" ht="12" thickBot="1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2:20" ht="12.6" thickBot="1">
      <c r="B16" s="10" t="s">
        <v>17</v>
      </c>
      <c r="C16" s="10" t="s">
        <v>17</v>
      </c>
      <c r="D16" s="10" t="s">
        <v>17</v>
      </c>
      <c r="E16" s="10" t="s">
        <v>17</v>
      </c>
      <c r="F16" s="10" t="s">
        <v>17</v>
      </c>
      <c r="G16" s="10" t="s">
        <v>17</v>
      </c>
      <c r="H16" s="10" t="s">
        <v>17</v>
      </c>
      <c r="I16" s="10" t="s">
        <v>17</v>
      </c>
      <c r="J16" s="10" t="s">
        <v>17</v>
      </c>
      <c r="K16" s="10" t="s">
        <v>17</v>
      </c>
      <c r="L16" s="10" t="s">
        <v>17</v>
      </c>
      <c r="M16" s="10" t="s">
        <v>17</v>
      </c>
      <c r="N16" s="10" t="s">
        <v>17</v>
      </c>
      <c r="O16" s="10" t="s">
        <v>17</v>
      </c>
      <c r="P16" s="10" t="s">
        <v>17</v>
      </c>
    </row>
    <row r="18" spans="11:16">
      <c r="K18" s="66">
        <f>Adults</f>
        <v>0</v>
      </c>
      <c r="L18" s="66">
        <f>Adults</f>
        <v>0</v>
      </c>
    </row>
    <row r="19" spans="11:16">
      <c r="K19" s="66">
        <f>Children</f>
        <v>0</v>
      </c>
      <c r="L19" s="66">
        <f>Children</f>
        <v>0</v>
      </c>
    </row>
    <row r="20" spans="11:16">
      <c r="M20" s="89"/>
      <c r="N20" s="89"/>
      <c r="O20" s="89"/>
      <c r="P20" s="89"/>
    </row>
    <row r="21" spans="11:16">
      <c r="M21" s="89"/>
      <c r="N21" s="89"/>
      <c r="O21" s="89"/>
      <c r="P21" s="89"/>
    </row>
  </sheetData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/>
  <dimension ref="A1:AN124"/>
  <sheetViews>
    <sheetView showGridLines="0" showRowColHeaders="0" tabSelected="1" topLeftCell="B1" zoomScaleNormal="100" workbookViewId="0">
      <selection activeCell="J7" sqref="J7"/>
    </sheetView>
  </sheetViews>
  <sheetFormatPr defaultColWidth="7.77734375" defaultRowHeight="13.2" zeroHeight="1"/>
  <cols>
    <col min="1" max="1" width="3.21875" style="161" hidden="1" customWidth="1"/>
    <col min="2" max="2" width="4" style="161" customWidth="1"/>
    <col min="3" max="3" width="31.21875" style="161" customWidth="1"/>
    <col min="4" max="4" width="3.77734375" style="161" customWidth="1"/>
    <col min="5" max="5" width="10.21875" style="161" customWidth="1"/>
    <col min="6" max="6" width="12.21875" style="161" customWidth="1"/>
    <col min="7" max="7" width="24.21875" style="161" customWidth="1"/>
    <col min="8" max="8" width="25.21875" style="172" customWidth="1"/>
    <col min="9" max="9" width="4.77734375" style="172" customWidth="1"/>
    <col min="10" max="10" width="25" style="172" bestFit="1" customWidth="1"/>
    <col min="11" max="11" width="1.44140625" style="172" customWidth="1"/>
    <col min="12" max="12" width="19.77734375" style="172" customWidth="1"/>
    <col min="13" max="14" width="2.21875" style="172" customWidth="1"/>
    <col min="15" max="15" width="11.21875" style="161" hidden="1" customWidth="1"/>
    <col min="16" max="16" width="7.77734375" style="161" hidden="1" customWidth="1"/>
    <col min="17" max="17" width="31.44140625" style="183" hidden="1" customWidth="1"/>
    <col min="18" max="18" width="7.44140625" style="183" hidden="1" customWidth="1"/>
    <col min="19" max="19" width="3.21875" style="183" hidden="1" customWidth="1"/>
    <col min="20" max="20" width="19.5546875" style="183" hidden="1" customWidth="1"/>
    <col min="21" max="21" width="2.5546875" style="183" hidden="1" customWidth="1"/>
    <col min="22" max="22" width="22.21875" style="176" hidden="1" customWidth="1"/>
    <col min="23" max="23" width="5.77734375" style="176" hidden="1" customWidth="1"/>
    <col min="24" max="24" width="5.44140625" style="176" hidden="1" customWidth="1"/>
    <col min="25" max="25" width="7.77734375" style="176" hidden="1" customWidth="1"/>
    <col min="26" max="29" width="7.77734375" style="172" hidden="1" customWidth="1"/>
    <col min="30" max="33" width="7.77734375" style="161" hidden="1" customWidth="1"/>
    <col min="34" max="34" width="7" style="161" hidden="1" customWidth="1"/>
    <col min="35" max="35" width="6" style="161" customWidth="1"/>
    <col min="36" max="36" width="10.5546875" style="161" customWidth="1"/>
    <col min="37" max="37" width="12" style="161" customWidth="1"/>
    <col min="38" max="39" width="7.77734375" style="161" customWidth="1"/>
    <col min="40" max="40" width="12.21875" style="161" customWidth="1"/>
    <col min="41" max="41" width="10.5546875" style="161" customWidth="1"/>
    <col min="42" max="42" width="12" style="161" customWidth="1"/>
    <col min="43" max="16384" width="7.77734375" style="161"/>
  </cols>
  <sheetData>
    <row r="1" spans="1:29" s="19" customFormat="1" ht="4.05" customHeight="1">
      <c r="A1" s="13"/>
      <c r="B1" s="14"/>
      <c r="C1" s="14"/>
      <c r="D1" s="14"/>
      <c r="E1" s="14"/>
      <c r="F1" s="14"/>
      <c r="G1" s="14"/>
      <c r="H1" s="15"/>
      <c r="I1" s="15"/>
      <c r="J1" s="15"/>
      <c r="K1" s="15"/>
      <c r="L1" s="15"/>
      <c r="M1" s="18"/>
      <c r="N1" s="18"/>
      <c r="Q1" s="57"/>
      <c r="R1" s="57"/>
      <c r="S1" s="57"/>
      <c r="T1" s="57"/>
      <c r="U1" s="57"/>
      <c r="V1" s="57"/>
      <c r="W1" s="57"/>
      <c r="X1" s="57"/>
      <c r="Y1" s="57"/>
      <c r="Z1" s="18"/>
      <c r="AA1" s="18"/>
      <c r="AB1" s="18"/>
      <c r="AC1" s="18"/>
    </row>
    <row r="2" spans="1:29" s="19" customFormat="1" ht="33" customHeight="1">
      <c r="A2" s="13"/>
      <c r="B2" s="16"/>
      <c r="C2" s="16"/>
      <c r="D2" s="16"/>
      <c r="E2" s="16"/>
      <c r="F2" s="16"/>
      <c r="G2" s="16"/>
      <c r="H2" s="17"/>
      <c r="I2" s="17"/>
      <c r="J2" s="17"/>
      <c r="K2" s="17"/>
      <c r="L2" s="17"/>
      <c r="M2" s="17"/>
      <c r="N2" s="18"/>
      <c r="P2" s="19" t="str">
        <f>Option&amp;MonthlyIncome</f>
        <v/>
      </c>
      <c r="Q2" s="57"/>
      <c r="R2" s="57"/>
      <c r="S2" s="57"/>
      <c r="T2" s="57"/>
      <c r="U2" s="57"/>
      <c r="V2" s="57"/>
      <c r="W2" s="57"/>
      <c r="X2" s="57"/>
      <c r="Y2" s="57"/>
    </row>
    <row r="3" spans="1:29" s="19" customFormat="1" ht="6.75" customHeight="1">
      <c r="A3" s="13"/>
      <c r="B3" s="20"/>
      <c r="C3" s="20"/>
      <c r="D3" s="20"/>
      <c r="E3" s="20"/>
      <c r="F3" s="20"/>
      <c r="G3" s="20"/>
      <c r="H3" s="21"/>
      <c r="I3" s="21"/>
      <c r="J3" s="21"/>
      <c r="K3" s="18"/>
      <c r="L3" s="18"/>
      <c r="M3" s="18"/>
      <c r="N3" s="18"/>
      <c r="Q3" s="57"/>
      <c r="R3" s="57"/>
      <c r="S3" s="57"/>
      <c r="T3" s="57"/>
      <c r="U3" s="57"/>
      <c r="V3" s="57"/>
      <c r="W3" s="57"/>
      <c r="X3" s="57"/>
      <c r="Y3" s="57"/>
    </row>
    <row r="4" spans="1:29" s="19" customFormat="1" ht="1.5" hidden="1" customHeight="1" thickBot="1">
      <c r="A4" s="13"/>
      <c r="B4" s="22" t="s">
        <v>0</v>
      </c>
      <c r="C4" s="23" t="s">
        <v>11</v>
      </c>
      <c r="D4" s="23"/>
      <c r="E4" s="23"/>
      <c r="F4" s="23"/>
      <c r="G4" s="23"/>
      <c r="H4" s="24"/>
      <c r="I4" s="24"/>
      <c r="J4" s="25"/>
      <c r="K4" s="18"/>
      <c r="L4" s="18"/>
      <c r="M4" s="18"/>
      <c r="N4" s="18"/>
      <c r="Q4" s="57"/>
      <c r="R4" s="57"/>
      <c r="S4" s="57"/>
      <c r="T4" s="57"/>
      <c r="U4" s="57"/>
      <c r="V4" s="57"/>
      <c r="W4" s="57"/>
      <c r="X4" s="57"/>
      <c r="Y4" s="57"/>
    </row>
    <row r="5" spans="1:29" s="19" customFormat="1" ht="1.5" hidden="1" customHeight="1">
      <c r="A5" s="13"/>
      <c r="B5" s="20"/>
      <c r="C5" s="20"/>
      <c r="D5" s="20"/>
      <c r="E5" s="20"/>
      <c r="F5" s="20"/>
      <c r="G5" s="20"/>
      <c r="H5" s="21"/>
      <c r="I5" s="21"/>
      <c r="J5" s="21"/>
      <c r="K5" s="18"/>
      <c r="L5" s="18"/>
      <c r="M5" s="18"/>
      <c r="N5" s="18"/>
      <c r="Q5" s="57"/>
      <c r="R5" s="57"/>
      <c r="S5" s="57"/>
      <c r="T5" s="57"/>
      <c r="U5" s="57"/>
      <c r="V5" s="57"/>
      <c r="W5" s="57"/>
      <c r="X5" s="57"/>
      <c r="Y5" s="57"/>
    </row>
    <row r="6" spans="1:29" s="33" customFormat="1" ht="3.75" customHeight="1" thickBot="1">
      <c r="A6" s="26"/>
      <c r="B6" s="27"/>
      <c r="C6" s="28"/>
      <c r="D6" s="28"/>
      <c r="E6" s="28"/>
      <c r="F6" s="28"/>
      <c r="G6" s="28"/>
      <c r="H6" s="29"/>
      <c r="I6" s="30"/>
      <c r="J6" s="31"/>
      <c r="K6" s="24"/>
      <c r="L6" s="30"/>
      <c r="M6" s="32"/>
      <c r="N6" s="32"/>
      <c r="Q6" s="58"/>
      <c r="R6" s="58"/>
      <c r="S6" s="58"/>
      <c r="T6" s="58"/>
      <c r="U6" s="58"/>
      <c r="V6" s="58"/>
      <c r="W6" s="58"/>
      <c r="X6" s="58"/>
      <c r="Y6" s="58"/>
    </row>
    <row r="7" spans="1:29" s="33" customFormat="1" ht="15" customHeight="1">
      <c r="A7" s="26"/>
      <c r="B7" s="34" t="s">
        <v>0</v>
      </c>
      <c r="C7" s="35" t="s">
        <v>68</v>
      </c>
      <c r="D7" s="35"/>
      <c r="E7" s="36"/>
      <c r="F7" s="37"/>
      <c r="G7" s="36"/>
      <c r="H7" s="36"/>
      <c r="I7" s="38"/>
      <c r="J7" s="49"/>
      <c r="K7" s="24"/>
      <c r="L7" s="30"/>
      <c r="M7" s="32"/>
      <c r="N7" s="32"/>
      <c r="Q7" s="58"/>
      <c r="R7" s="58"/>
      <c r="S7" s="58"/>
      <c r="T7" s="58"/>
      <c r="U7" s="58"/>
      <c r="V7" s="58"/>
      <c r="W7" s="58"/>
      <c r="X7" s="58"/>
      <c r="Y7" s="58"/>
    </row>
    <row r="8" spans="1:29" s="33" customFormat="1" ht="3.75" customHeight="1" thickBot="1">
      <c r="A8" s="26"/>
      <c r="B8" s="34"/>
      <c r="C8" s="35"/>
      <c r="D8" s="35"/>
      <c r="E8" s="36"/>
      <c r="F8" s="37"/>
      <c r="G8" s="36"/>
      <c r="H8" s="36"/>
      <c r="I8" s="38"/>
      <c r="J8" s="42"/>
      <c r="K8" s="24"/>
      <c r="L8" s="30"/>
      <c r="M8" s="32"/>
      <c r="N8" s="32"/>
      <c r="Q8" s="58"/>
      <c r="R8" s="58"/>
      <c r="S8" s="58"/>
      <c r="T8" s="58"/>
      <c r="U8" s="58"/>
      <c r="V8" s="58"/>
      <c r="W8" s="58"/>
      <c r="X8" s="58"/>
      <c r="Y8" s="58"/>
    </row>
    <row r="9" spans="1:29" s="33" customFormat="1" ht="18" customHeight="1">
      <c r="A9" s="26"/>
      <c r="B9" s="34" t="s">
        <v>0</v>
      </c>
      <c r="C9" s="35" t="s">
        <v>24</v>
      </c>
      <c r="D9" s="35"/>
      <c r="E9" s="36"/>
      <c r="F9" s="37"/>
      <c r="G9" s="36"/>
      <c r="H9" s="36"/>
      <c r="I9" s="38"/>
      <c r="J9" s="50"/>
      <c r="K9" s="24"/>
      <c r="L9" s="30"/>
      <c r="M9" s="32"/>
      <c r="N9" s="32"/>
      <c r="Q9" s="58"/>
      <c r="R9" s="58"/>
      <c r="S9" s="58"/>
      <c r="T9" s="58"/>
      <c r="U9" s="58"/>
      <c r="V9" s="58"/>
      <c r="W9" s="58"/>
      <c r="X9" s="58"/>
      <c r="Y9" s="58"/>
    </row>
    <row r="10" spans="1:29" s="33" customFormat="1" ht="4.5" customHeight="1" thickBot="1">
      <c r="A10" s="26"/>
      <c r="B10" s="41"/>
      <c r="C10" s="36"/>
      <c r="D10" s="36"/>
      <c r="E10" s="36"/>
      <c r="F10" s="36"/>
      <c r="G10" s="36"/>
      <c r="H10" s="36"/>
      <c r="I10" s="38"/>
      <c r="J10" s="40"/>
      <c r="K10" s="24"/>
      <c r="L10" s="30"/>
      <c r="M10" s="32"/>
      <c r="N10" s="32"/>
      <c r="Q10" s="58"/>
      <c r="R10" s="58"/>
      <c r="S10" s="58"/>
      <c r="T10" s="58"/>
      <c r="U10" s="58"/>
      <c r="V10" s="58"/>
      <c r="W10" s="58"/>
      <c r="X10" s="58"/>
      <c r="Y10" s="58"/>
    </row>
    <row r="11" spans="1:29" s="33" customFormat="1" ht="15" customHeight="1">
      <c r="A11" s="26"/>
      <c r="B11" s="34" t="str">
        <f>IF(OR(Option="Rhythm1",Option="Rhythm2"),"Q:","")</f>
        <v/>
      </c>
      <c r="C11" s="36" t="str">
        <f>IF(OR(Option="Rhythm1",Option="Rhythm2"),"Monthly income?","")</f>
        <v/>
      </c>
      <c r="D11" s="36"/>
      <c r="E11" s="36"/>
      <c r="F11" s="36"/>
      <c r="G11" s="36"/>
      <c r="H11" s="36"/>
      <c r="I11" s="38"/>
      <c r="J11" s="49"/>
      <c r="K11" s="24"/>
      <c r="L11" s="30"/>
      <c r="M11" s="32"/>
      <c r="N11" s="32"/>
      <c r="Q11" s="58"/>
      <c r="R11" s="58"/>
      <c r="S11" s="58"/>
      <c r="T11" s="58"/>
      <c r="U11" s="58"/>
      <c r="V11" s="58"/>
      <c r="W11" s="58"/>
      <c r="X11" s="58"/>
      <c r="Y11" s="58"/>
    </row>
    <row r="12" spans="1:29" s="33" customFormat="1" ht="3.75" hidden="1" customHeight="1" thickBot="1">
      <c r="A12" s="26"/>
      <c r="B12" s="41"/>
      <c r="C12" s="36"/>
      <c r="D12" s="36"/>
      <c r="E12" s="36"/>
      <c r="F12" s="36"/>
      <c r="G12" s="36"/>
      <c r="H12" s="36"/>
      <c r="I12" s="38"/>
      <c r="J12" s="40"/>
      <c r="K12" s="24"/>
      <c r="L12" s="30"/>
      <c r="M12" s="32"/>
      <c r="N12" s="32"/>
      <c r="Q12" s="58"/>
      <c r="R12" s="58"/>
      <c r="S12" s="58"/>
      <c r="T12" s="58"/>
      <c r="U12" s="58"/>
      <c r="V12" s="58"/>
      <c r="W12" s="58"/>
      <c r="X12" s="58"/>
      <c r="Y12" s="58"/>
    </row>
    <row r="13" spans="1:29" s="33" customFormat="1" ht="15" hidden="1" customHeight="1">
      <c r="A13" s="26"/>
      <c r="B13" s="34" t="s">
        <v>0</v>
      </c>
      <c r="C13" s="36" t="s">
        <v>14</v>
      </c>
      <c r="D13" s="36"/>
      <c r="E13" s="36"/>
      <c r="F13" s="36"/>
      <c r="G13" s="36"/>
      <c r="H13" s="36"/>
      <c r="I13" s="38"/>
      <c r="J13" s="49"/>
      <c r="K13" s="24"/>
      <c r="L13" s="30"/>
      <c r="M13" s="32"/>
      <c r="N13" s="32"/>
      <c r="Q13" s="58"/>
      <c r="R13" s="58"/>
      <c r="S13" s="58"/>
      <c r="T13" s="58"/>
      <c r="U13" s="58"/>
      <c r="V13" s="58"/>
      <c r="W13" s="58"/>
      <c r="X13" s="58"/>
      <c r="Y13" s="58"/>
    </row>
    <row r="14" spans="1:29" s="33" customFormat="1" ht="3.75" customHeight="1" thickBot="1">
      <c r="A14" s="26"/>
      <c r="B14" s="41"/>
      <c r="C14" s="195"/>
      <c r="D14" s="195"/>
      <c r="E14" s="195"/>
      <c r="F14" s="195"/>
      <c r="G14" s="195"/>
      <c r="H14" s="36"/>
      <c r="I14" s="38"/>
      <c r="J14" s="40"/>
      <c r="K14" s="24"/>
      <c r="L14" s="30"/>
      <c r="M14" s="32"/>
      <c r="N14" s="32"/>
      <c r="Q14" s="58"/>
      <c r="R14" s="58"/>
      <c r="S14" s="58"/>
      <c r="T14" s="58"/>
      <c r="U14" s="58"/>
      <c r="V14" s="58"/>
      <c r="W14" s="58"/>
      <c r="X14" s="58"/>
      <c r="Y14" s="58"/>
    </row>
    <row r="15" spans="1:29" s="33" customFormat="1" ht="25.05" customHeight="1">
      <c r="A15" s="26"/>
      <c r="B15" s="34" t="s">
        <v>0</v>
      </c>
      <c r="C15" s="208" t="s">
        <v>112</v>
      </c>
      <c r="D15" s="209"/>
      <c r="E15" s="209"/>
      <c r="F15" s="209"/>
      <c r="G15" s="209"/>
      <c r="H15" s="35"/>
      <c r="I15" s="38"/>
      <c r="J15" s="51"/>
      <c r="K15" s="24"/>
      <c r="L15" s="30"/>
      <c r="M15" s="32"/>
      <c r="N15" s="32"/>
      <c r="O15" s="94"/>
      <c r="Q15" s="58"/>
      <c r="R15" s="58"/>
      <c r="S15" s="58"/>
      <c r="T15" s="58"/>
      <c r="U15" s="58"/>
      <c r="V15" s="58"/>
      <c r="W15" s="58"/>
      <c r="X15" s="58"/>
      <c r="Y15" s="58"/>
    </row>
    <row r="16" spans="1:29" s="33" customFormat="1" ht="6" customHeight="1" thickBot="1">
      <c r="A16" s="26"/>
      <c r="B16" s="34"/>
      <c r="C16" s="195"/>
      <c r="D16" s="195"/>
      <c r="E16" s="195"/>
      <c r="F16" s="195"/>
      <c r="G16" s="195"/>
      <c r="H16" s="195"/>
      <c r="I16" s="38"/>
      <c r="J16" s="197"/>
      <c r="K16" s="24"/>
      <c r="L16" s="30"/>
      <c r="M16" s="32"/>
      <c r="N16" s="32"/>
      <c r="O16" s="94"/>
      <c r="Q16" s="58"/>
      <c r="R16" s="58"/>
      <c r="S16" s="58"/>
      <c r="T16" s="58"/>
      <c r="U16" s="58"/>
      <c r="V16" s="58"/>
      <c r="W16" s="58"/>
      <c r="X16" s="58"/>
      <c r="Y16" s="58"/>
    </row>
    <row r="17" spans="1:25" s="33" customFormat="1" ht="28.05" customHeight="1">
      <c r="A17" s="26"/>
      <c r="B17" s="34" t="s">
        <v>0</v>
      </c>
      <c r="C17" s="208" t="s">
        <v>111</v>
      </c>
      <c r="D17" s="209"/>
      <c r="E17" s="209"/>
      <c r="F17" s="209"/>
      <c r="G17" s="209"/>
      <c r="H17" s="195"/>
      <c r="I17" s="38"/>
      <c r="J17" s="51"/>
      <c r="K17" s="24"/>
      <c r="L17" s="30"/>
      <c r="M17" s="32"/>
      <c r="N17" s="32"/>
      <c r="O17" s="94"/>
      <c r="Q17" s="58"/>
      <c r="R17" s="58"/>
      <c r="S17" s="58"/>
      <c r="T17" s="58"/>
      <c r="U17" s="58"/>
      <c r="V17" s="58"/>
      <c r="W17" s="58"/>
      <c r="X17" s="58"/>
      <c r="Y17" s="58"/>
    </row>
    <row r="18" spans="1:25" s="33" customFormat="1" ht="7.05" customHeight="1" thickBot="1">
      <c r="A18" s="26"/>
      <c r="B18" s="34"/>
      <c r="C18" s="36"/>
      <c r="D18" s="36"/>
      <c r="E18" s="36"/>
      <c r="F18" s="36"/>
      <c r="G18" s="36"/>
      <c r="H18" s="36"/>
      <c r="I18" s="38"/>
      <c r="J18" s="42"/>
      <c r="K18" s="24"/>
      <c r="L18" s="30"/>
      <c r="M18" s="32"/>
      <c r="N18" s="32"/>
      <c r="Q18" s="58"/>
      <c r="R18" s="58"/>
      <c r="S18" s="58"/>
      <c r="T18" s="58"/>
      <c r="U18" s="58"/>
      <c r="V18" s="58"/>
      <c r="W18" s="58"/>
      <c r="X18" s="58"/>
      <c r="Y18" s="58"/>
    </row>
    <row r="19" spans="1:25" s="33" customFormat="1" ht="18" customHeight="1">
      <c r="A19" s="26"/>
      <c r="B19" s="34" t="s">
        <v>0</v>
      </c>
      <c r="C19" s="36" t="s">
        <v>65</v>
      </c>
      <c r="D19" s="36"/>
      <c r="E19" s="36"/>
      <c r="F19" s="36"/>
      <c r="G19" s="36"/>
      <c r="H19" s="36"/>
      <c r="I19" s="38"/>
      <c r="J19" s="51"/>
      <c r="K19" s="24"/>
      <c r="L19" s="30"/>
      <c r="M19" s="32"/>
      <c r="N19" s="32"/>
      <c r="Q19" s="58"/>
      <c r="R19" s="58"/>
      <c r="S19" s="58"/>
      <c r="T19" s="58"/>
      <c r="U19" s="58"/>
      <c r="V19" s="58"/>
      <c r="W19" s="58"/>
      <c r="X19" s="58"/>
      <c r="Y19" s="58"/>
    </row>
    <row r="20" spans="1:25" s="33" customFormat="1" ht="18" customHeight="1">
      <c r="A20" s="26"/>
      <c r="B20" s="39"/>
      <c r="C20" s="36"/>
      <c r="D20" s="36"/>
      <c r="E20" s="36"/>
      <c r="F20" s="36"/>
      <c r="G20" s="36"/>
      <c r="H20" s="36"/>
      <c r="I20" s="38"/>
      <c r="J20" s="40"/>
      <c r="K20" s="24"/>
      <c r="L20" s="30"/>
      <c r="M20" s="32"/>
      <c r="N20" s="32"/>
      <c r="Q20" s="58"/>
      <c r="R20" s="58"/>
      <c r="S20" s="58"/>
      <c r="T20" s="58"/>
      <c r="U20" s="58"/>
      <c r="V20" s="58"/>
      <c r="W20" s="58"/>
      <c r="X20" s="58"/>
      <c r="Y20" s="58"/>
    </row>
    <row r="21" spans="1:25" s="33" customFormat="1" ht="18" customHeight="1" thickBot="1">
      <c r="A21" s="26"/>
      <c r="B21" s="36"/>
      <c r="C21" s="38"/>
      <c r="D21" s="38"/>
      <c r="E21" s="36"/>
      <c r="F21" s="36"/>
      <c r="G21" s="36"/>
      <c r="H21" s="36"/>
      <c r="I21" s="38"/>
      <c r="J21" s="42"/>
      <c r="K21" s="24"/>
      <c r="L21" s="30"/>
      <c r="M21" s="32"/>
      <c r="N21" s="32"/>
      <c r="Q21" s="58"/>
      <c r="R21" s="58"/>
      <c r="S21" s="58"/>
      <c r="T21" s="58"/>
      <c r="U21" s="58"/>
      <c r="V21" s="58"/>
      <c r="W21" s="58"/>
      <c r="X21" s="58"/>
      <c r="Y21" s="58"/>
    </row>
    <row r="22" spans="1:25" s="33" customFormat="1" ht="15" customHeight="1">
      <c r="A22" s="26"/>
      <c r="B22" s="39"/>
      <c r="C22" s="38"/>
      <c r="D22" s="38"/>
      <c r="E22" s="38"/>
      <c r="F22" s="36"/>
      <c r="G22" s="39"/>
      <c r="H22" s="39" t="s">
        <v>66</v>
      </c>
      <c r="I22" s="43"/>
      <c r="J22" s="44" t="str">
        <f>IF(OR(Option="",Children=""),"",VLOOKUP($P$2,'Input grid'!$C$4:$AF$21,26,0))</f>
        <v/>
      </c>
      <c r="K22" s="45"/>
      <c r="L22" s="48"/>
      <c r="M22" s="32"/>
      <c r="N22" s="32"/>
      <c r="Q22" s="58"/>
      <c r="R22" s="58"/>
      <c r="S22" s="58"/>
      <c r="T22" s="58"/>
      <c r="U22" s="58"/>
      <c r="V22" s="58"/>
      <c r="W22" s="58"/>
      <c r="X22" s="58"/>
      <c r="Y22" s="58"/>
    </row>
    <row r="23" spans="1:25" s="33" customFormat="1" ht="3.75" customHeight="1" thickBot="1">
      <c r="A23" s="26"/>
      <c r="B23" s="46"/>
      <c r="C23" s="38"/>
      <c r="D23" s="38"/>
      <c r="E23" s="38"/>
      <c r="F23" s="36"/>
      <c r="G23" s="38"/>
      <c r="H23" s="39"/>
      <c r="I23" s="38"/>
      <c r="J23" s="40"/>
      <c r="K23" s="24"/>
      <c r="L23" s="30"/>
      <c r="M23" s="32"/>
      <c r="N23" s="32"/>
      <c r="Q23" s="58"/>
      <c r="R23" s="58"/>
      <c r="S23" s="58"/>
      <c r="T23" s="58"/>
      <c r="U23" s="58"/>
      <c r="V23" s="58"/>
      <c r="W23" s="58"/>
      <c r="X23" s="58"/>
      <c r="Y23" s="58"/>
    </row>
    <row r="24" spans="1:25" s="33" customFormat="1" ht="14.55" customHeight="1">
      <c r="A24" s="26"/>
      <c r="B24" s="39"/>
      <c r="C24" s="38"/>
      <c r="D24" s="38"/>
      <c r="E24" s="38"/>
      <c r="F24" s="36"/>
      <c r="G24" s="38"/>
      <c r="H24" s="39" t="s">
        <v>20</v>
      </c>
      <c r="I24" s="38"/>
      <c r="J24" s="47" t="str">
        <f>IF(OR(Option="",Children=""),"",VLOOKUP($P$2,'Input grid'!$C$4:$AF$21,15,0))</f>
        <v/>
      </c>
      <c r="K24" s="24"/>
      <c r="L24" s="48"/>
      <c r="M24" s="32"/>
      <c r="N24" s="32"/>
      <c r="Q24" s="58"/>
      <c r="R24" s="58"/>
      <c r="S24" s="58"/>
      <c r="T24" s="58"/>
      <c r="U24" s="58"/>
      <c r="V24" s="58"/>
      <c r="W24" s="58"/>
      <c r="X24" s="58"/>
      <c r="Y24" s="58"/>
    </row>
    <row r="25" spans="1:25" s="142" customFormat="1" ht="3.75" customHeight="1">
      <c r="B25" s="143"/>
      <c r="C25" s="143"/>
      <c r="D25" s="143"/>
      <c r="E25" s="143"/>
      <c r="F25" s="143"/>
      <c r="G25" s="143"/>
      <c r="H25" s="144"/>
      <c r="I25" s="145"/>
      <c r="J25" s="146"/>
      <c r="K25" s="147"/>
      <c r="L25" s="148"/>
      <c r="M25" s="149"/>
      <c r="N25" s="149"/>
      <c r="Q25" s="150"/>
      <c r="R25" s="150"/>
      <c r="S25" s="150"/>
      <c r="T25" s="150"/>
      <c r="U25" s="150"/>
      <c r="V25" s="150"/>
      <c r="W25" s="150"/>
      <c r="X25" s="150"/>
      <c r="Y25" s="150"/>
    </row>
    <row r="26" spans="1:25" s="142" customFormat="1" ht="13.8" hidden="1">
      <c r="B26" s="143"/>
      <c r="C26" s="143"/>
      <c r="D26" s="143"/>
      <c r="E26" s="143"/>
      <c r="F26" s="143"/>
      <c r="G26" s="143"/>
      <c r="H26" s="144" t="str">
        <f>IF(J22="N/A","","Self Payment Gap =")</f>
        <v>Self Payment Gap =</v>
      </c>
      <c r="I26" s="145"/>
      <c r="J26" s="151" t="str">
        <f>IF(OR(Option="",Children=""),"",IF(HLOOKUP(Option,Savings3,7,FALSE)&lt;0,0,HLOOKUP(Option,Savings3,7,FALSE)))</f>
        <v/>
      </c>
      <c r="K26" s="147"/>
      <c r="L26" s="152"/>
      <c r="M26" s="149"/>
      <c r="N26" s="149"/>
      <c r="Q26" s="150"/>
      <c r="R26" s="150"/>
      <c r="S26" s="150"/>
      <c r="T26" s="150"/>
      <c r="U26" s="150"/>
      <c r="V26" s="150"/>
      <c r="W26" s="150"/>
      <c r="X26" s="150"/>
      <c r="Y26" s="150"/>
    </row>
    <row r="27" spans="1:25" s="142" customFormat="1" ht="5.25" hidden="1" customHeight="1" thickBot="1">
      <c r="B27" s="153"/>
      <c r="C27" s="145"/>
      <c r="D27" s="145"/>
      <c r="E27" s="145"/>
      <c r="F27" s="145"/>
      <c r="G27" s="145"/>
      <c r="H27" s="145"/>
      <c r="I27" s="145"/>
      <c r="J27" s="154"/>
      <c r="K27" s="147"/>
      <c r="L27" s="148"/>
      <c r="M27" s="149"/>
      <c r="N27" s="149"/>
      <c r="Q27" s="150"/>
      <c r="R27" s="150"/>
      <c r="S27" s="150"/>
      <c r="T27" s="150"/>
      <c r="U27" s="150"/>
      <c r="V27" s="150"/>
      <c r="W27" s="150"/>
      <c r="X27" s="150"/>
      <c r="Y27" s="150"/>
    </row>
    <row r="28" spans="1:25" s="142" customFormat="1" ht="13.8" hidden="1">
      <c r="B28" s="153"/>
      <c r="C28" s="145"/>
      <c r="D28" s="145"/>
      <c r="E28" s="145"/>
      <c r="F28" s="145"/>
      <c r="G28" s="143"/>
      <c r="H28" s="144" t="str">
        <f>IF(J22="N/A","","Overall ATB Limit =")</f>
        <v>Overall ATB Limit =</v>
      </c>
      <c r="I28" s="145"/>
      <c r="J28" s="151" t="str">
        <f>IF(OR(Option="",Children=""),"",HLOOKUP(Option,Savings4,9,FALSE))</f>
        <v/>
      </c>
      <c r="K28" s="147"/>
      <c r="L28" s="148"/>
      <c r="M28" s="149"/>
      <c r="N28" s="149"/>
      <c r="Q28" s="150"/>
      <c r="R28" s="150"/>
      <c r="S28" s="150"/>
      <c r="T28" s="150"/>
      <c r="U28" s="150"/>
      <c r="V28" s="150"/>
      <c r="W28" s="150"/>
      <c r="X28" s="150"/>
      <c r="Y28" s="150"/>
    </row>
    <row r="29" spans="1:25" s="142" customFormat="1" ht="5.25" customHeight="1">
      <c r="B29" s="155"/>
      <c r="C29" s="152"/>
      <c r="D29" s="152"/>
      <c r="E29" s="152"/>
      <c r="F29" s="152"/>
      <c r="G29" s="152"/>
      <c r="H29" s="148"/>
      <c r="I29" s="148"/>
      <c r="J29" s="156"/>
      <c r="K29" s="147"/>
      <c r="L29" s="148"/>
      <c r="M29" s="149"/>
      <c r="N29" s="149"/>
      <c r="Q29" s="150"/>
      <c r="R29" s="150"/>
      <c r="S29" s="150"/>
      <c r="T29" s="150"/>
      <c r="U29" s="150"/>
      <c r="V29" s="150"/>
      <c r="W29" s="150"/>
      <c r="X29" s="150"/>
      <c r="Y29" s="150"/>
    </row>
    <row r="30" spans="1:25" s="142" customFormat="1" ht="5.25" customHeight="1">
      <c r="B30" s="155"/>
      <c r="C30" s="152"/>
      <c r="D30" s="152"/>
      <c r="E30" s="152"/>
      <c r="F30" s="152"/>
      <c r="G30" s="157"/>
      <c r="H30" s="148"/>
      <c r="I30" s="148"/>
      <c r="J30" s="148"/>
      <c r="K30" s="147"/>
      <c r="L30" s="148"/>
      <c r="M30" s="149"/>
      <c r="N30" s="149"/>
      <c r="Q30" s="150"/>
      <c r="R30" s="150"/>
      <c r="S30" s="150"/>
      <c r="T30" s="150"/>
      <c r="U30" s="150"/>
      <c r="V30" s="150"/>
      <c r="W30" s="150"/>
      <c r="X30" s="150"/>
      <c r="Y30" s="150"/>
    </row>
    <row r="31" spans="1:25" s="142" customFormat="1" ht="5.25" customHeight="1">
      <c r="B31" s="155"/>
      <c r="C31" s="152"/>
      <c r="D31" s="152"/>
      <c r="E31" s="157"/>
      <c r="F31" s="158"/>
      <c r="G31" s="158"/>
      <c r="H31" s="158"/>
      <c r="I31" s="158"/>
      <c r="J31" s="158"/>
      <c r="K31" s="159"/>
      <c r="L31" s="148"/>
      <c r="M31" s="149"/>
      <c r="N31" s="149"/>
      <c r="Q31" s="150"/>
      <c r="R31" s="150"/>
      <c r="S31" s="150"/>
      <c r="T31" s="150"/>
      <c r="U31" s="150"/>
      <c r="V31" s="150"/>
      <c r="W31" s="150"/>
      <c r="X31" s="150"/>
      <c r="Y31" s="150"/>
    </row>
    <row r="32" spans="1:25" s="142" customFormat="1" ht="18" customHeight="1">
      <c r="B32" s="160"/>
      <c r="C32" s="161"/>
      <c r="D32" s="161"/>
      <c r="E32" s="152"/>
      <c r="F32" s="158"/>
      <c r="G32" s="184"/>
      <c r="H32" s="184"/>
      <c r="I32" s="184"/>
      <c r="J32" s="193" t="s">
        <v>67</v>
      </c>
      <c r="K32" s="159"/>
      <c r="L32" s="162"/>
      <c r="M32" s="149"/>
      <c r="N32" s="149"/>
      <c r="Q32" s="150"/>
      <c r="R32" s="150"/>
      <c r="S32" s="150"/>
      <c r="T32" s="150"/>
      <c r="U32" s="150"/>
      <c r="V32" s="150"/>
      <c r="W32" s="150"/>
      <c r="X32" s="150"/>
      <c r="Y32" s="150"/>
    </row>
    <row r="33" spans="2:40" s="142" customFormat="1" ht="3.75" customHeight="1">
      <c r="B33" s="157"/>
      <c r="C33" s="161"/>
      <c r="D33" s="161"/>
      <c r="E33" s="152"/>
      <c r="F33" s="158"/>
      <c r="G33" s="184"/>
      <c r="H33" s="184"/>
      <c r="I33" s="184"/>
      <c r="J33" s="184"/>
      <c r="K33" s="159"/>
      <c r="L33" s="162"/>
      <c r="M33" s="149"/>
      <c r="N33" s="149"/>
      <c r="Q33" s="150"/>
      <c r="R33" s="150"/>
      <c r="S33" s="150"/>
      <c r="T33" s="150"/>
      <c r="U33" s="150"/>
      <c r="V33" s="150"/>
      <c r="W33" s="150"/>
      <c r="X33" s="150"/>
      <c r="Y33" s="150"/>
    </row>
    <row r="34" spans="2:40" s="142" customFormat="1" ht="15" customHeight="1">
      <c r="B34" s="152"/>
      <c r="C34" s="161"/>
      <c r="D34" s="161"/>
      <c r="E34" s="152"/>
      <c r="F34" s="158"/>
      <c r="G34" s="184"/>
      <c r="H34" s="185" t="s">
        <v>10</v>
      </c>
      <c r="I34" s="186"/>
      <c r="J34" s="187" t="str">
        <f>IF(OR(Option="",Children=""),"",VLOOKUP($P$2,'Input grid'!$C$4:$AG$21,19,0))</f>
        <v/>
      </c>
      <c r="K34" s="159"/>
      <c r="L34" s="162"/>
      <c r="M34" s="149"/>
      <c r="N34" s="149"/>
      <c r="Q34" s="150"/>
      <c r="R34" s="150"/>
      <c r="S34" s="150"/>
      <c r="T34" s="150"/>
      <c r="U34" s="150"/>
      <c r="V34" s="150"/>
      <c r="W34" s="150"/>
      <c r="X34" s="150"/>
      <c r="Y34" s="150"/>
    </row>
    <row r="35" spans="2:40" s="142" customFormat="1" ht="15.75" customHeight="1">
      <c r="B35" s="152"/>
      <c r="C35" s="161"/>
      <c r="D35" s="161"/>
      <c r="E35" s="152"/>
      <c r="F35" s="158"/>
      <c r="G35" s="184"/>
      <c r="H35" s="185" t="s">
        <v>18</v>
      </c>
      <c r="I35" s="186"/>
      <c r="J35" s="187" t="str">
        <f>IFERROR(IF(OR(Option="",Children=""),"",IF(J24="N/A","-",ROUNDDOWN(J24/VLOOKUP($J$9,$V$44:$W$55,2,FALSE),0))),0)</f>
        <v/>
      </c>
      <c r="K35" s="159"/>
      <c r="L35" s="163"/>
      <c r="M35" s="149"/>
      <c r="N35" s="149"/>
      <c r="Q35" s="150"/>
      <c r="R35" s="150"/>
      <c r="S35" s="150"/>
      <c r="T35" s="150"/>
      <c r="U35" s="150"/>
      <c r="V35" s="150"/>
      <c r="W35" s="150"/>
      <c r="X35" s="150"/>
      <c r="Y35" s="150"/>
    </row>
    <row r="36" spans="2:40" s="142" customFormat="1" ht="1.5" customHeight="1">
      <c r="B36" s="152"/>
      <c r="C36" s="161"/>
      <c r="D36" s="161"/>
      <c r="E36" s="152"/>
      <c r="F36" s="158"/>
      <c r="G36" s="184"/>
      <c r="H36" s="186"/>
      <c r="I36" s="186"/>
      <c r="J36" s="188"/>
      <c r="K36" s="159"/>
      <c r="L36" s="162"/>
      <c r="M36" s="149"/>
      <c r="N36" s="149"/>
      <c r="Q36" s="150"/>
      <c r="R36" s="150"/>
      <c r="S36" s="150"/>
      <c r="T36" s="150"/>
      <c r="U36" s="150"/>
      <c r="V36" s="150"/>
      <c r="W36" s="150"/>
      <c r="X36" s="150"/>
      <c r="Y36" s="150"/>
    </row>
    <row r="37" spans="2:40" s="142" customFormat="1" ht="1.5" customHeight="1">
      <c r="B37" s="152"/>
      <c r="C37" s="161"/>
      <c r="D37" s="161"/>
      <c r="E37" s="152"/>
      <c r="F37" s="158"/>
      <c r="G37" s="184"/>
      <c r="H37" s="186"/>
      <c r="I37" s="186"/>
      <c r="J37" s="188"/>
      <c r="K37" s="159"/>
      <c r="L37" s="162"/>
      <c r="M37" s="149"/>
      <c r="N37" s="149"/>
      <c r="Q37" s="150"/>
      <c r="R37" s="150"/>
      <c r="S37" s="150"/>
      <c r="T37" s="150"/>
      <c r="U37" s="150"/>
      <c r="V37" s="150"/>
      <c r="W37" s="150"/>
      <c r="X37" s="150"/>
      <c r="Y37" s="150"/>
    </row>
    <row r="38" spans="2:40" s="142" customFormat="1" ht="15" customHeight="1" thickBot="1">
      <c r="B38" s="152"/>
      <c r="C38" s="161"/>
      <c r="D38" s="161"/>
      <c r="E38" s="152"/>
      <c r="F38" s="164"/>
      <c r="G38" s="169"/>
      <c r="H38" s="189" t="s">
        <v>8</v>
      </c>
      <c r="I38" s="189"/>
      <c r="J38" s="190" t="str">
        <f>IF(J34="","",SUM(J34:J36))</f>
        <v/>
      </c>
      <c r="K38" s="159"/>
      <c r="L38" s="162"/>
      <c r="M38" s="149"/>
      <c r="N38" s="149"/>
      <c r="Q38" s="150"/>
      <c r="R38" s="150"/>
      <c r="S38" s="150"/>
      <c r="T38" s="150"/>
      <c r="U38" s="150"/>
      <c r="V38" s="150"/>
      <c r="W38" s="150"/>
      <c r="X38" s="150"/>
      <c r="Y38" s="150"/>
    </row>
    <row r="39" spans="2:40" s="142" customFormat="1" ht="3.45" customHeight="1" thickTop="1">
      <c r="B39" s="152"/>
      <c r="C39" s="161"/>
      <c r="D39" s="161"/>
      <c r="E39" s="152"/>
      <c r="F39" s="158"/>
      <c r="G39" s="184"/>
      <c r="H39" s="186"/>
      <c r="I39" s="186"/>
      <c r="J39" s="188"/>
      <c r="K39" s="159"/>
      <c r="L39" s="162"/>
      <c r="M39" s="149"/>
      <c r="N39" s="149"/>
      <c r="Q39" s="150"/>
      <c r="R39" s="150"/>
      <c r="S39" s="150"/>
      <c r="T39" s="150"/>
      <c r="U39" s="150"/>
      <c r="V39" s="150"/>
      <c r="W39" s="150"/>
      <c r="X39" s="150"/>
      <c r="Y39" s="150"/>
    </row>
    <row r="40" spans="2:40" s="142" customFormat="1" ht="12.45" customHeight="1">
      <c r="B40" s="152"/>
      <c r="C40" s="161"/>
      <c r="D40" s="161"/>
      <c r="E40" s="152"/>
      <c r="F40" s="158"/>
      <c r="G40" s="184"/>
      <c r="H40" s="185" t="s">
        <v>106</v>
      </c>
      <c r="I40" s="186"/>
      <c r="J40" s="187" t="str">
        <f>IF(OR(Option="",Children=""),"",VLOOKUP($P$2,'Input grid'!C:AN,38,FALSE)*-1)</f>
        <v/>
      </c>
      <c r="K40" s="159"/>
      <c r="L40" s="162"/>
      <c r="M40" s="149"/>
      <c r="N40" s="149"/>
      <c r="Q40" s="150"/>
      <c r="R40" s="150"/>
      <c r="S40" s="150"/>
      <c r="T40" s="150"/>
      <c r="U40" s="150"/>
      <c r="V40" s="150"/>
      <c r="W40" s="150"/>
      <c r="X40" s="150"/>
      <c r="Y40" s="150"/>
    </row>
    <row r="41" spans="2:40" s="142" customFormat="1" ht="2.5499999999999998" customHeight="1">
      <c r="B41" s="152"/>
      <c r="C41" s="161"/>
      <c r="D41" s="161"/>
      <c r="E41" s="152"/>
      <c r="F41" s="158"/>
      <c r="G41" s="184"/>
      <c r="H41" s="191"/>
      <c r="I41" s="191"/>
      <c r="J41" s="187"/>
      <c r="K41" s="159"/>
      <c r="L41" s="162"/>
      <c r="M41" s="149"/>
      <c r="N41" s="149"/>
      <c r="Q41" s="150"/>
      <c r="R41" s="150"/>
      <c r="S41" s="150"/>
      <c r="T41" s="150"/>
      <c r="U41" s="150"/>
      <c r="V41" s="150"/>
      <c r="W41" s="150"/>
      <c r="X41" s="150"/>
      <c r="Y41" s="150"/>
    </row>
    <row r="42" spans="2:40" s="142" customFormat="1" ht="4.05" customHeight="1">
      <c r="B42" s="152"/>
      <c r="C42" s="161"/>
      <c r="D42" s="161"/>
      <c r="E42" s="152"/>
      <c r="F42" s="158"/>
      <c r="G42" s="184"/>
      <c r="H42" s="191"/>
      <c r="I42" s="191"/>
      <c r="J42" s="188"/>
      <c r="K42" s="159"/>
      <c r="L42" s="162"/>
      <c r="M42" s="149"/>
      <c r="N42" s="149"/>
      <c r="Q42" s="150"/>
      <c r="R42" s="150"/>
      <c r="S42" s="150"/>
      <c r="T42" s="150"/>
      <c r="U42" s="150"/>
      <c r="V42" s="150"/>
      <c r="W42" s="150"/>
      <c r="X42" s="150"/>
      <c r="Y42" s="150"/>
    </row>
    <row r="43" spans="2:40" s="142" customFormat="1" ht="10.95" customHeight="1" thickBot="1">
      <c r="B43" s="165"/>
      <c r="C43" s="161"/>
      <c r="D43" s="161"/>
      <c r="E43" s="166"/>
      <c r="F43" s="164"/>
      <c r="G43" s="169"/>
      <c r="H43" s="189" t="s">
        <v>9</v>
      </c>
      <c r="I43" s="189"/>
      <c r="J43" s="190" t="str">
        <f>IF(J34="","",SUM(J38:J40))</f>
        <v/>
      </c>
      <c r="K43" s="159"/>
      <c r="L43" s="162"/>
      <c r="M43" s="149"/>
      <c r="N43" s="149"/>
      <c r="Q43" s="167">
        <v>2024</v>
      </c>
      <c r="R43" s="168"/>
      <c r="S43" s="168"/>
      <c r="T43" s="169" t="s">
        <v>13</v>
      </c>
      <c r="U43" s="168"/>
      <c r="V43" s="169" t="s">
        <v>22</v>
      </c>
      <c r="W43" s="170" t="s">
        <v>16</v>
      </c>
      <c r="X43" s="170" t="s">
        <v>23</v>
      </c>
      <c r="Y43" s="150"/>
    </row>
    <row r="44" spans="2:40" ht="13.5" customHeight="1" thickTop="1">
      <c r="D44" s="171"/>
      <c r="E44" s="152"/>
      <c r="F44" s="159"/>
      <c r="G44" s="192"/>
      <c r="H44" s="192"/>
      <c r="I44" s="192"/>
      <c r="J44" s="192"/>
      <c r="K44" s="159"/>
      <c r="L44" s="148"/>
      <c r="Q44" s="173" t="s">
        <v>107</v>
      </c>
      <c r="R44" s="173" t="s">
        <v>6</v>
      </c>
      <c r="S44" s="173"/>
      <c r="T44" s="173" t="s">
        <v>12</v>
      </c>
      <c r="U44" s="173"/>
      <c r="V44" s="174">
        <v>46023</v>
      </c>
      <c r="W44" s="175">
        <v>12</v>
      </c>
      <c r="X44" s="175">
        <v>12</v>
      </c>
      <c r="Z44" s="161"/>
      <c r="AA44" s="161"/>
      <c r="AB44" s="161"/>
      <c r="AC44" s="161"/>
      <c r="AN44" s="177"/>
    </row>
    <row r="45" spans="2:40" s="165" customFormat="1" ht="15">
      <c r="C45" s="178" t="s">
        <v>15</v>
      </c>
      <c r="D45" s="161"/>
      <c r="E45" s="161"/>
      <c r="F45" s="161"/>
      <c r="G45" s="161"/>
      <c r="H45" s="172"/>
      <c r="I45" s="172"/>
      <c r="J45" s="179"/>
      <c r="K45" s="179"/>
      <c r="L45" s="179"/>
      <c r="M45" s="179"/>
      <c r="N45" s="179"/>
      <c r="P45" s="161"/>
      <c r="Q45" s="173" t="s">
        <v>99</v>
      </c>
      <c r="R45" s="173" t="s">
        <v>6</v>
      </c>
      <c r="S45" s="173"/>
      <c r="T45" s="173" t="s">
        <v>50</v>
      </c>
      <c r="U45" s="173"/>
      <c r="V45" s="174">
        <v>46054</v>
      </c>
      <c r="W45" s="175">
        <v>11</v>
      </c>
      <c r="X45" s="175">
        <v>11</v>
      </c>
      <c r="Y45" s="180"/>
    </row>
    <row r="46" spans="2:40" ht="15">
      <c r="H46" s="161"/>
      <c r="I46" s="161"/>
      <c r="Q46" s="173" t="s">
        <v>108</v>
      </c>
      <c r="R46" s="173" t="s">
        <v>6</v>
      </c>
      <c r="S46" s="173"/>
      <c r="T46" s="173"/>
      <c r="U46" s="173"/>
      <c r="V46" s="174">
        <v>46082</v>
      </c>
      <c r="W46" s="175">
        <v>10</v>
      </c>
      <c r="X46" s="175">
        <v>10</v>
      </c>
      <c r="Z46" s="161"/>
      <c r="AA46" s="161"/>
      <c r="AB46" s="161"/>
      <c r="AC46" s="161"/>
    </row>
    <row r="47" spans="2:40" ht="15">
      <c r="Q47" s="173" t="s">
        <v>100</v>
      </c>
      <c r="R47" s="173" t="s">
        <v>6</v>
      </c>
      <c r="S47" s="173"/>
      <c r="T47" s="173"/>
      <c r="U47" s="173"/>
      <c r="V47" s="174">
        <v>46113</v>
      </c>
      <c r="W47" s="175">
        <v>9</v>
      </c>
      <c r="X47" s="175">
        <v>9</v>
      </c>
      <c r="Z47" s="161"/>
      <c r="AA47" s="161"/>
      <c r="AB47" s="161"/>
      <c r="AC47" s="161"/>
    </row>
    <row r="48" spans="2:40" ht="15">
      <c r="Q48" s="173" t="s">
        <v>109</v>
      </c>
      <c r="R48" s="173" t="s">
        <v>6</v>
      </c>
      <c r="S48" s="173"/>
      <c r="T48" s="173"/>
      <c r="U48" s="173"/>
      <c r="V48" s="174">
        <v>46143</v>
      </c>
      <c r="W48" s="175">
        <v>8</v>
      </c>
      <c r="X48" s="175">
        <v>8</v>
      </c>
      <c r="Z48" s="161"/>
      <c r="AA48" s="161"/>
      <c r="AB48" s="161"/>
      <c r="AC48" s="161"/>
    </row>
    <row r="49" spans="17:29" ht="15">
      <c r="Q49" s="173" t="s">
        <v>101</v>
      </c>
      <c r="R49" s="173" t="s">
        <v>6</v>
      </c>
      <c r="S49" s="173"/>
      <c r="T49" s="169" t="s">
        <v>25</v>
      </c>
      <c r="U49" s="173"/>
      <c r="V49" s="174">
        <v>46174</v>
      </c>
      <c r="W49" s="175">
        <v>7</v>
      </c>
      <c r="X49" s="175">
        <v>7</v>
      </c>
      <c r="Z49" s="161"/>
      <c r="AA49" s="161"/>
      <c r="AB49" s="161"/>
      <c r="AC49" s="161"/>
    </row>
    <row r="50" spans="17:29" ht="15">
      <c r="Q50" s="173" t="s">
        <v>58</v>
      </c>
      <c r="R50" s="173" t="s">
        <v>7</v>
      </c>
      <c r="S50" s="173"/>
      <c r="T50" s="173" t="s">
        <v>53</v>
      </c>
      <c r="U50" s="173"/>
      <c r="V50" s="174">
        <v>46204</v>
      </c>
      <c r="W50" s="175">
        <v>6</v>
      </c>
      <c r="X50" s="175">
        <v>6</v>
      </c>
      <c r="Z50" s="161"/>
      <c r="AA50" s="161"/>
      <c r="AB50" s="161"/>
      <c r="AC50" s="161"/>
    </row>
    <row r="51" spans="17:29" ht="15">
      <c r="Q51" s="173" t="s">
        <v>110</v>
      </c>
      <c r="R51" s="173" t="s">
        <v>7</v>
      </c>
      <c r="S51" s="173"/>
      <c r="T51" s="173" t="s">
        <v>54</v>
      </c>
      <c r="U51" s="173"/>
      <c r="V51" s="174">
        <v>46235</v>
      </c>
      <c r="W51" s="175">
        <v>5</v>
      </c>
      <c r="X51" s="175">
        <v>5</v>
      </c>
      <c r="Z51" s="161"/>
      <c r="AA51" s="161"/>
      <c r="AB51" s="161"/>
      <c r="AC51" s="161"/>
    </row>
    <row r="52" spans="17:29" ht="15">
      <c r="Q52" s="173" t="s">
        <v>41</v>
      </c>
      <c r="R52" s="173" t="s">
        <v>7</v>
      </c>
      <c r="S52" s="173"/>
      <c r="T52" s="173" t="s">
        <v>55</v>
      </c>
      <c r="U52" s="173"/>
      <c r="V52" s="174">
        <v>46266</v>
      </c>
      <c r="W52" s="175">
        <v>4</v>
      </c>
      <c r="X52" s="175">
        <v>4</v>
      </c>
      <c r="Z52" s="161"/>
      <c r="AA52" s="161"/>
      <c r="AB52" s="161"/>
      <c r="AC52" s="161"/>
    </row>
    <row r="53" spans="17:29" ht="15">
      <c r="Q53" s="173" t="s">
        <v>43</v>
      </c>
      <c r="R53" s="173" t="s">
        <v>7</v>
      </c>
      <c r="S53" s="173"/>
      <c r="T53" s="161"/>
      <c r="U53" s="173"/>
      <c r="V53" s="174">
        <v>46296</v>
      </c>
      <c r="W53" s="175">
        <v>3</v>
      </c>
      <c r="X53" s="175">
        <v>3</v>
      </c>
      <c r="Z53" s="161"/>
      <c r="AA53" s="161"/>
      <c r="AB53" s="161"/>
      <c r="AC53" s="161"/>
    </row>
    <row r="54" spans="17:29" ht="15">
      <c r="Q54" s="173" t="s">
        <v>45</v>
      </c>
      <c r="R54" s="173" t="s">
        <v>7</v>
      </c>
      <c r="S54" s="173"/>
      <c r="T54" s="173" t="s">
        <v>25</v>
      </c>
      <c r="U54" s="173"/>
      <c r="V54" s="174">
        <v>46327</v>
      </c>
      <c r="W54" s="175">
        <v>2</v>
      </c>
      <c r="X54" s="175">
        <v>2</v>
      </c>
      <c r="Z54" s="161"/>
      <c r="AA54" s="161"/>
      <c r="AB54" s="161"/>
      <c r="AC54" s="161"/>
    </row>
    <row r="55" spans="17:29" ht="15">
      <c r="Q55" s="173" t="s">
        <v>46</v>
      </c>
      <c r="R55" s="173" t="s">
        <v>7</v>
      </c>
      <c r="S55" s="173"/>
      <c r="T55" s="173" t="s">
        <v>60</v>
      </c>
      <c r="U55" s="173"/>
      <c r="V55" s="174">
        <v>46357</v>
      </c>
      <c r="W55" s="175">
        <v>1</v>
      </c>
      <c r="X55" s="175">
        <v>1</v>
      </c>
      <c r="Z55" s="161"/>
      <c r="AA55" s="161"/>
      <c r="AB55" s="161"/>
      <c r="AC55" s="161"/>
    </row>
    <row r="56" spans="17:29" ht="15">
      <c r="Q56" s="173" t="s">
        <v>51</v>
      </c>
      <c r="R56" s="173" t="s">
        <v>7</v>
      </c>
      <c r="S56" s="173"/>
      <c r="T56" s="173" t="s">
        <v>61</v>
      </c>
      <c r="U56" s="173"/>
      <c r="V56" s="181"/>
      <c r="W56" s="161"/>
      <c r="X56" s="161"/>
      <c r="Z56" s="161"/>
      <c r="AA56" s="161"/>
      <c r="AB56" s="161"/>
      <c r="AC56" s="161"/>
    </row>
    <row r="57" spans="17:29" ht="15">
      <c r="Q57" s="173" t="s">
        <v>52</v>
      </c>
      <c r="R57" s="173" t="s">
        <v>7</v>
      </c>
      <c r="S57" s="173"/>
      <c r="T57" s="173" t="s">
        <v>62</v>
      </c>
      <c r="U57" s="173"/>
      <c r="V57" s="181"/>
      <c r="W57" s="161"/>
      <c r="X57" s="161"/>
      <c r="Z57" s="161"/>
      <c r="AA57" s="161"/>
      <c r="AB57" s="161"/>
      <c r="AC57" s="161"/>
    </row>
    <row r="58" spans="17:29" ht="15">
      <c r="Q58" s="173"/>
      <c r="R58" s="173"/>
      <c r="S58" s="173"/>
      <c r="T58" s="173"/>
      <c r="U58" s="173"/>
      <c r="V58" s="181"/>
      <c r="W58" s="161"/>
      <c r="X58" s="161"/>
      <c r="Z58" s="161"/>
      <c r="AA58" s="161"/>
      <c r="AB58" s="161"/>
      <c r="AC58" s="161"/>
    </row>
    <row r="59" spans="17:29" ht="15">
      <c r="Q59" s="161"/>
      <c r="R59" s="173"/>
      <c r="S59" s="173"/>
      <c r="T59" s="173"/>
      <c r="U59" s="173"/>
      <c r="V59" s="181"/>
      <c r="W59" s="161"/>
      <c r="X59" s="161"/>
      <c r="Z59" s="161"/>
      <c r="AA59" s="161"/>
      <c r="AB59" s="161"/>
      <c r="AC59" s="161"/>
    </row>
    <row r="60" spans="17:29" ht="15">
      <c r="Q60" s="161"/>
      <c r="R60" s="173"/>
      <c r="S60" s="173"/>
      <c r="T60" s="173"/>
      <c r="U60" s="173"/>
      <c r="V60" s="181"/>
      <c r="W60" s="161"/>
      <c r="X60" s="161"/>
      <c r="Z60" s="161"/>
      <c r="AA60" s="161"/>
      <c r="AB60" s="161"/>
      <c r="AC60" s="161"/>
    </row>
    <row r="61" spans="17:29" ht="15">
      <c r="Q61" s="173"/>
      <c r="R61" s="173"/>
      <c r="S61" s="173"/>
      <c r="T61" s="173"/>
      <c r="U61" s="173"/>
      <c r="V61" s="161"/>
      <c r="W61" s="161"/>
      <c r="X61" s="161"/>
      <c r="Z61" s="161"/>
      <c r="AA61" s="161"/>
      <c r="AB61" s="161"/>
      <c r="AC61" s="161"/>
    </row>
    <row r="62" spans="17:29" ht="15">
      <c r="Q62" s="173"/>
      <c r="R62" s="173"/>
      <c r="S62" s="173"/>
      <c r="T62" s="173"/>
      <c r="U62" s="173"/>
      <c r="V62" s="161"/>
      <c r="W62" s="161"/>
      <c r="X62" s="161"/>
      <c r="Z62" s="161"/>
      <c r="AA62" s="161"/>
      <c r="AB62" s="161"/>
      <c r="AC62" s="161"/>
    </row>
    <row r="63" spans="17:29" ht="15">
      <c r="Q63" s="173"/>
      <c r="R63" s="173"/>
      <c r="S63" s="173"/>
      <c r="T63" s="173"/>
      <c r="U63" s="173"/>
      <c r="V63" s="161"/>
      <c r="W63" s="161"/>
      <c r="X63" s="161"/>
      <c r="Z63" s="161"/>
      <c r="AA63" s="161"/>
      <c r="AB63" s="161"/>
      <c r="AC63" s="161"/>
    </row>
    <row r="64" spans="17:29" ht="15">
      <c r="Q64" s="173"/>
      <c r="R64" s="173"/>
      <c r="S64" s="173"/>
      <c r="T64" s="173"/>
      <c r="U64" s="173"/>
      <c r="V64" s="161"/>
      <c r="W64" s="161"/>
      <c r="X64" s="161"/>
      <c r="Z64" s="161"/>
      <c r="AA64" s="161"/>
      <c r="AB64" s="161"/>
      <c r="AC64" s="161"/>
    </row>
    <row r="65" spans="17:29" ht="15">
      <c r="Q65" s="173"/>
      <c r="R65" s="173"/>
      <c r="S65" s="173"/>
      <c r="T65" s="173"/>
      <c r="U65" s="173"/>
      <c r="V65" s="161"/>
      <c r="W65" s="161"/>
      <c r="X65" s="161"/>
      <c r="Z65" s="161"/>
      <c r="AA65" s="161"/>
      <c r="AB65" s="161"/>
      <c r="AC65" s="161"/>
    </row>
    <row r="66" spans="17:29" ht="15">
      <c r="Q66" s="182"/>
      <c r="R66" s="182"/>
      <c r="S66" s="182"/>
      <c r="T66" s="182"/>
      <c r="U66" s="182"/>
      <c r="Z66" s="161"/>
      <c r="AA66" s="161"/>
      <c r="AB66" s="161"/>
      <c r="AC66" s="161"/>
    </row>
    <row r="67" spans="17:29" ht="15">
      <c r="Q67" s="182"/>
      <c r="R67" s="182"/>
      <c r="S67" s="182"/>
      <c r="T67" s="182"/>
      <c r="U67" s="182"/>
      <c r="Z67" s="161"/>
      <c r="AA67" s="161"/>
      <c r="AB67" s="161"/>
      <c r="AC67" s="161"/>
    </row>
    <row r="68" spans="17:29" ht="15">
      <c r="Q68" s="182"/>
      <c r="R68" s="182"/>
      <c r="S68" s="182"/>
      <c r="T68" s="182"/>
      <c r="U68" s="182"/>
      <c r="Z68" s="161"/>
      <c r="AA68" s="161"/>
      <c r="AB68" s="161"/>
      <c r="AC68" s="161"/>
    </row>
    <row r="69" spans="17:29" ht="15">
      <c r="Q69" s="182"/>
      <c r="R69" s="182"/>
      <c r="S69" s="182"/>
      <c r="T69" s="182"/>
      <c r="U69" s="182"/>
      <c r="Z69" s="161"/>
      <c r="AA69" s="161"/>
      <c r="AB69" s="161"/>
      <c r="AC69" s="161"/>
    </row>
    <row r="70" spans="17:29" ht="15">
      <c r="Q70" s="182"/>
      <c r="R70" s="182"/>
      <c r="S70" s="182"/>
      <c r="T70" s="182"/>
      <c r="U70" s="182"/>
      <c r="Z70" s="161"/>
      <c r="AA70" s="161"/>
      <c r="AB70" s="161"/>
      <c r="AC70" s="161"/>
    </row>
    <row r="71" spans="17:29" ht="15">
      <c r="Q71" s="182"/>
      <c r="R71" s="182"/>
      <c r="S71" s="182"/>
      <c r="T71" s="182"/>
      <c r="U71" s="182"/>
      <c r="Z71" s="161"/>
      <c r="AA71" s="161"/>
      <c r="AB71" s="161"/>
      <c r="AC71" s="161"/>
    </row>
    <row r="72" spans="17:29" ht="15">
      <c r="Q72" s="182"/>
      <c r="R72" s="182"/>
      <c r="S72" s="182"/>
      <c r="T72" s="182"/>
      <c r="U72" s="182"/>
      <c r="Z72" s="161"/>
      <c r="AA72" s="161"/>
      <c r="AB72" s="161"/>
      <c r="AC72" s="161"/>
    </row>
    <row r="73" spans="17:29" ht="15">
      <c r="Q73" s="182"/>
      <c r="R73" s="182"/>
      <c r="S73" s="182"/>
      <c r="T73" s="182"/>
      <c r="U73" s="182"/>
      <c r="Z73" s="161"/>
      <c r="AA73" s="161"/>
      <c r="AB73" s="161"/>
      <c r="AC73" s="161"/>
    </row>
    <row r="74" spans="17:29" ht="15">
      <c r="Q74" s="182"/>
      <c r="R74" s="182"/>
      <c r="S74" s="182"/>
      <c r="T74" s="182"/>
      <c r="U74" s="182"/>
      <c r="Z74" s="161"/>
      <c r="AA74" s="161"/>
      <c r="AB74" s="161"/>
      <c r="AC74" s="161"/>
    </row>
    <row r="75" spans="17:29" ht="15">
      <c r="Q75" s="182"/>
      <c r="R75" s="182"/>
      <c r="S75" s="182"/>
      <c r="T75" s="182"/>
      <c r="U75" s="182"/>
      <c r="Z75" s="161"/>
      <c r="AA75" s="161"/>
      <c r="AB75" s="161"/>
      <c r="AC75" s="161"/>
    </row>
    <row r="76" spans="17:29" ht="15">
      <c r="Q76" s="182"/>
      <c r="R76" s="182"/>
      <c r="S76" s="182"/>
      <c r="T76" s="182"/>
      <c r="U76" s="182"/>
      <c r="Z76" s="161"/>
      <c r="AA76" s="161"/>
      <c r="AB76" s="161"/>
      <c r="AC76" s="161"/>
    </row>
    <row r="77" spans="17:29" ht="15">
      <c r="Q77" s="182"/>
      <c r="R77" s="182"/>
      <c r="S77" s="182"/>
      <c r="T77" s="182"/>
      <c r="U77" s="182"/>
      <c r="Z77" s="161"/>
      <c r="AA77" s="161"/>
      <c r="AB77" s="161"/>
      <c r="AC77" s="161"/>
    </row>
    <row r="78" spans="17:29" ht="15">
      <c r="Q78" s="182"/>
      <c r="R78" s="182"/>
      <c r="S78" s="182"/>
      <c r="T78" s="182"/>
      <c r="U78" s="182"/>
      <c r="Z78" s="161"/>
      <c r="AA78" s="161"/>
      <c r="AB78" s="161"/>
      <c r="AC78" s="161"/>
    </row>
    <row r="79" spans="17:29" ht="15">
      <c r="Q79" s="182"/>
      <c r="R79" s="182"/>
      <c r="S79" s="182"/>
      <c r="T79" s="182"/>
      <c r="U79" s="182"/>
      <c r="Z79" s="161"/>
      <c r="AA79" s="161"/>
      <c r="AB79" s="161"/>
      <c r="AC79" s="161"/>
    </row>
    <row r="80" spans="17:29" ht="15">
      <c r="Q80" s="182"/>
      <c r="R80" s="182"/>
      <c r="S80" s="182"/>
      <c r="T80" s="182"/>
      <c r="U80" s="182"/>
      <c r="Z80" s="161"/>
      <c r="AA80" s="161"/>
      <c r="AB80" s="161"/>
      <c r="AC80" s="161"/>
    </row>
    <row r="81" spans="17:29" ht="15">
      <c r="Q81" s="182"/>
      <c r="R81" s="182"/>
      <c r="S81" s="182"/>
      <c r="T81" s="182"/>
      <c r="U81" s="182"/>
      <c r="Z81" s="161"/>
      <c r="AA81" s="161"/>
      <c r="AB81" s="161"/>
      <c r="AC81" s="161"/>
    </row>
    <row r="82" spans="17:29" ht="15" hidden="1">
      <c r="Q82" s="182"/>
      <c r="R82" s="182"/>
      <c r="S82" s="182"/>
      <c r="T82" s="182"/>
      <c r="U82" s="182"/>
      <c r="Z82" s="161"/>
      <c r="AA82" s="161"/>
      <c r="AB82" s="161"/>
      <c r="AC82" s="161"/>
    </row>
    <row r="83" spans="17:29" ht="15" hidden="1">
      <c r="Q83" s="182"/>
      <c r="R83" s="182"/>
      <c r="S83" s="182"/>
      <c r="U83" s="182"/>
      <c r="Z83" s="161"/>
      <c r="AA83" s="161"/>
      <c r="AB83" s="161"/>
      <c r="AC83" s="161"/>
    </row>
    <row r="84" spans="17:29" ht="15">
      <c r="Q84" s="182"/>
      <c r="R84" s="182"/>
      <c r="S84" s="182"/>
      <c r="U84" s="182"/>
      <c r="Z84" s="161"/>
      <c r="AA84" s="161"/>
      <c r="AB84" s="161"/>
      <c r="AC84" s="161"/>
    </row>
    <row r="85" spans="17:29" ht="15">
      <c r="Q85" s="182"/>
      <c r="R85" s="182"/>
      <c r="S85" s="182"/>
      <c r="U85" s="182"/>
      <c r="Z85" s="161"/>
      <c r="AA85" s="161"/>
      <c r="AB85" s="161"/>
      <c r="AC85" s="161"/>
    </row>
    <row r="86" spans="17:29" ht="15" hidden="1">
      <c r="Q86" s="182"/>
      <c r="R86" s="182"/>
      <c r="S86" s="182"/>
      <c r="Z86" s="161"/>
      <c r="AA86" s="161"/>
      <c r="AB86" s="161"/>
      <c r="AC86" s="161"/>
    </row>
    <row r="87" spans="17:29" ht="15" hidden="1">
      <c r="Q87" s="182"/>
      <c r="R87" s="182"/>
      <c r="S87" s="182"/>
      <c r="Z87" s="161"/>
      <c r="AA87" s="161"/>
      <c r="AB87" s="161"/>
      <c r="AC87" s="161"/>
    </row>
    <row r="88" spans="17:29" ht="15" hidden="1">
      <c r="Q88" s="182"/>
      <c r="R88" s="182"/>
      <c r="S88" s="182"/>
      <c r="Z88" s="161"/>
      <c r="AA88" s="161"/>
      <c r="AB88" s="161"/>
      <c r="AC88" s="161"/>
    </row>
    <row r="89" spans="17:29" ht="15">
      <c r="Q89" s="182"/>
      <c r="R89" s="182"/>
      <c r="S89" s="182"/>
      <c r="Z89" s="161"/>
      <c r="AA89" s="161"/>
      <c r="AB89" s="161"/>
      <c r="AC89" s="161"/>
    </row>
    <row r="90" spans="17:29" ht="15">
      <c r="Q90" s="182"/>
      <c r="R90" s="182"/>
      <c r="Z90" s="161"/>
      <c r="AA90" s="161"/>
      <c r="AB90" s="161"/>
      <c r="AC90" s="161"/>
    </row>
    <row r="91" spans="17:29">
      <c r="Z91" s="161"/>
      <c r="AA91" s="161"/>
      <c r="AB91" s="161"/>
      <c r="AC91" s="161"/>
    </row>
    <row r="92" spans="17:29"/>
    <row r="93" spans="17:29"/>
    <row r="94" spans="17:29"/>
    <row r="96" spans="17:29"/>
    <row r="97"/>
    <row r="98"/>
    <row r="99"/>
    <row r="100"/>
    <row r="113"/>
    <row r="114"/>
    <row r="123"/>
    <row r="124"/>
  </sheetData>
  <sheetProtection selectLockedCells="1"/>
  <mergeCells count="2">
    <mergeCell ref="C17:G17"/>
    <mergeCell ref="C15:G15"/>
  </mergeCells>
  <phoneticPr fontId="0" type="noConversion"/>
  <conditionalFormatting sqref="J32">
    <cfRule type="expression" dxfId="3" priority="2" stopIfTrue="1">
      <formula>$J$25&gt;$K$25</formula>
    </cfRule>
  </conditionalFormatting>
  <conditionalFormatting sqref="J26 J28">
    <cfRule type="expression" dxfId="2" priority="3" stopIfTrue="1">
      <formula>$H$26=""</formula>
    </cfRule>
  </conditionalFormatting>
  <conditionalFormatting sqref="E7:I9">
    <cfRule type="expression" dxfId="1" priority="4" stopIfTrue="1">
      <formula>"if($I$6=""Yes"")"</formula>
    </cfRule>
  </conditionalFormatting>
  <conditionalFormatting sqref="J11">
    <cfRule type="cellIs" dxfId="0" priority="1" stopIfTrue="1" operator="equal">
      <formula>$B$11</formula>
    </cfRule>
  </conditionalFormatting>
  <dataValidations count="9">
    <dataValidation allowBlank="1" showInputMessage="1" showErrorMessage="1" errorTitle="Input Error" error="Select from drop-down list." sqref="E24" xr:uid="{00000000-0002-0000-0200-000000000000}"/>
    <dataValidation type="list" allowBlank="1" showInputMessage="1" showErrorMessage="1" sqref="J19 J16:J17" xr:uid="{00000000-0002-0000-0200-000001000000}">
      <formula1>"0,1,2,3,4,5,6,7,8,9,10"</formula1>
    </dataValidation>
    <dataValidation type="list" allowBlank="1" showInputMessage="1" showErrorMessage="1" errorTitle="Input Error" error="Select from drop-down list." sqref="J13" xr:uid="{00000000-0002-0000-0200-000002000000}">
      <formula1>$T$44:$T$45</formula1>
    </dataValidation>
    <dataValidation type="list" allowBlank="1" showInputMessage="1" showErrorMessage="1" errorTitle="Input error" error="Select from drop-down list." sqref="J4" xr:uid="{00000000-0002-0000-0200-000003000000}">
      <formula1>"Yes,No"</formula1>
    </dataValidation>
    <dataValidation allowBlank="1" showInputMessage="1" showErrorMessage="1" errorTitle="Input error" error="Select from drop-down list." sqref="J6 J8 J34" xr:uid="{00000000-0002-0000-0200-000004000000}"/>
    <dataValidation type="list" allowBlank="1" showInputMessage="1" showErrorMessage="1" errorTitle="Input error" error="Select from drop-down list." sqref="J9" xr:uid="{00000000-0002-0000-0200-000005000000}">
      <formula1>$V$44:$V$55</formula1>
    </dataValidation>
    <dataValidation type="list" allowBlank="1" showInputMessage="1" showErrorMessage="1" sqref="J11" xr:uid="{00000000-0002-0000-0200-000007000000}">
      <formula1>IF(Option=$Q$56,$T$50:$T$52,$T$55:$T$57)</formula1>
    </dataValidation>
    <dataValidation type="list" allowBlank="1" showInputMessage="1" showErrorMessage="1" errorTitle="Input error" error="Select from drop-down list." sqref="J7" xr:uid="{00000000-0002-0000-0200-000006000000}">
      <formula1>$Q$44:$Q$57</formula1>
    </dataValidation>
    <dataValidation type="list" allowBlank="1" showInputMessage="1" showErrorMessage="1" sqref="J15" xr:uid="{1013D93A-DF8B-4038-8804-A88BB8BB59ED}">
      <formula1>"0,1"</formula1>
    </dataValidation>
  </dataValidations>
  <pageMargins left="0.75" right="0.75" top="1" bottom="1" header="0.5" footer="0.5"/>
  <pageSetup paperSize="9" orientation="portrait" horizontalDpi="4294967292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837E-2510-4FA2-88A8-9D0522C3BBB4}">
  <dimension ref="A1:AR28"/>
  <sheetViews>
    <sheetView topLeftCell="R1" workbookViewId="0">
      <selection activeCell="AB12" sqref="AB12"/>
    </sheetView>
  </sheetViews>
  <sheetFormatPr defaultColWidth="8.88671875" defaultRowHeight="11.4"/>
  <cols>
    <col min="1" max="1" width="38.109375" style="5" bestFit="1" customWidth="1"/>
    <col min="2" max="2" width="17.6640625" style="5" bestFit="1" customWidth="1"/>
    <col min="3" max="3" width="55" style="5" bestFit="1" customWidth="1"/>
    <col min="4" max="9" width="8.44140625" style="5" customWidth="1"/>
    <col min="10" max="11" width="10.33203125" style="5" bestFit="1" customWidth="1"/>
    <col min="12" max="12" width="9.33203125" style="5" bestFit="1" customWidth="1"/>
    <col min="13" max="15" width="8.88671875" style="5"/>
    <col min="16" max="16" width="18.77734375" style="5" bestFit="1" customWidth="1"/>
    <col min="17" max="22" width="15.109375" style="5" customWidth="1"/>
    <col min="23" max="23" width="14.88671875" style="5" bestFit="1" customWidth="1"/>
    <col min="24" max="26" width="8.88671875" style="5"/>
    <col min="27" max="27" width="11.44140625" style="5" bestFit="1" customWidth="1"/>
    <col min="28" max="32" width="11.44140625" style="5" customWidth="1"/>
    <col min="33" max="33" width="11.77734375" style="5" bestFit="1" customWidth="1"/>
    <col min="34" max="34" width="12.21875" style="5" bestFit="1" customWidth="1"/>
    <col min="35" max="37" width="8.88671875" style="5"/>
    <col min="38" max="38" width="12.5546875" style="5" bestFit="1" customWidth="1"/>
    <col min="39" max="40" width="8.88671875" style="5"/>
    <col min="41" max="41" width="9.33203125" style="5" customWidth="1"/>
    <col min="42" max="16384" width="8.88671875" style="5"/>
  </cols>
  <sheetData>
    <row r="1" spans="1:44" ht="12">
      <c r="A1" s="108"/>
      <c r="B1" s="108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10"/>
      <c r="N1" s="110"/>
      <c r="O1" s="110"/>
      <c r="P1" s="110"/>
      <c r="Q1" s="109" t="s">
        <v>69</v>
      </c>
      <c r="R1" s="109"/>
      <c r="S1" s="109"/>
      <c r="T1" s="109"/>
      <c r="U1" s="109" t="s">
        <v>104</v>
      </c>
      <c r="V1" s="109" t="s">
        <v>105</v>
      </c>
      <c r="W1" s="110"/>
      <c r="X1" s="110"/>
      <c r="Y1" s="110"/>
      <c r="Z1" s="110"/>
      <c r="AA1" s="109"/>
      <c r="AB1" s="109" t="s">
        <v>103</v>
      </c>
      <c r="AC1" s="109"/>
      <c r="AD1" s="109"/>
      <c r="AE1" s="109"/>
      <c r="AF1" s="109"/>
    </row>
    <row r="2" spans="1:44" s="113" customFormat="1" ht="12.45" customHeight="1" thickBot="1">
      <c r="A2" s="111" t="s">
        <v>70</v>
      </c>
      <c r="B2" s="112"/>
      <c r="D2" s="213" t="s">
        <v>71</v>
      </c>
      <c r="E2" s="214"/>
      <c r="F2" s="215"/>
      <c r="G2" s="213" t="s">
        <v>72</v>
      </c>
      <c r="H2" s="214"/>
      <c r="I2" s="215"/>
      <c r="J2" s="213" t="s">
        <v>73</v>
      </c>
      <c r="K2" s="214"/>
      <c r="L2" s="214"/>
      <c r="M2" s="216" t="s">
        <v>74</v>
      </c>
      <c r="N2" s="216"/>
      <c r="O2" s="216"/>
      <c r="P2" s="114" t="s">
        <v>74</v>
      </c>
      <c r="Q2" s="114" t="s">
        <v>75</v>
      </c>
      <c r="R2" s="114" t="s">
        <v>75</v>
      </c>
      <c r="S2" s="114" t="s">
        <v>76</v>
      </c>
      <c r="T2" s="114" t="s">
        <v>77</v>
      </c>
      <c r="U2" s="114" t="s">
        <v>78</v>
      </c>
      <c r="V2" s="114" t="s">
        <v>16</v>
      </c>
      <c r="W2" s="115" t="s">
        <v>79</v>
      </c>
      <c r="X2" s="217" t="s">
        <v>80</v>
      </c>
      <c r="Y2" s="217"/>
      <c r="Z2" s="217"/>
      <c r="AA2" s="114" t="s">
        <v>81</v>
      </c>
      <c r="AB2" s="141" t="s">
        <v>102</v>
      </c>
      <c r="AC2" s="218" t="s">
        <v>23</v>
      </c>
      <c r="AD2" s="219"/>
      <c r="AE2" s="220"/>
      <c r="AF2" s="114" t="s">
        <v>82</v>
      </c>
      <c r="AG2" s="210" t="s">
        <v>83</v>
      </c>
      <c r="AL2" s="212"/>
      <c r="AM2" s="212"/>
      <c r="AN2" s="212"/>
      <c r="AP2" s="212"/>
      <c r="AQ2" s="212"/>
      <c r="AR2" s="212"/>
    </row>
    <row r="3" spans="1:44" s="121" customFormat="1" ht="12">
      <c r="A3" s="116" t="s">
        <v>84</v>
      </c>
      <c r="B3" s="116" t="s">
        <v>85</v>
      </c>
      <c r="C3" s="117" t="s">
        <v>86</v>
      </c>
      <c r="D3" s="116" t="s">
        <v>87</v>
      </c>
      <c r="E3" s="116" t="s">
        <v>88</v>
      </c>
      <c r="F3" s="116" t="s">
        <v>89</v>
      </c>
      <c r="G3" s="116" t="s">
        <v>87</v>
      </c>
      <c r="H3" s="116" t="s">
        <v>88</v>
      </c>
      <c r="I3" s="116" t="s">
        <v>89</v>
      </c>
      <c r="J3" s="116" t="s">
        <v>87</v>
      </c>
      <c r="K3" s="116" t="s">
        <v>88</v>
      </c>
      <c r="L3" s="116" t="s">
        <v>89</v>
      </c>
      <c r="M3" s="117" t="s">
        <v>87</v>
      </c>
      <c r="N3" s="117" t="s">
        <v>88</v>
      </c>
      <c r="O3" s="117" t="s">
        <v>89</v>
      </c>
      <c r="P3" s="117" t="s">
        <v>90</v>
      </c>
      <c r="Q3" s="117" t="s">
        <v>91</v>
      </c>
      <c r="R3" s="117" t="s">
        <v>92</v>
      </c>
      <c r="S3" s="117" t="s">
        <v>90</v>
      </c>
      <c r="T3" s="117" t="s">
        <v>90</v>
      </c>
      <c r="U3" s="117" t="s">
        <v>90</v>
      </c>
      <c r="V3" s="117" t="s">
        <v>90</v>
      </c>
      <c r="W3" s="116" t="s">
        <v>90</v>
      </c>
      <c r="X3" s="118" t="s">
        <v>87</v>
      </c>
      <c r="Y3" s="118" t="s">
        <v>88</v>
      </c>
      <c r="Z3" s="118" t="s">
        <v>89</v>
      </c>
      <c r="AA3" s="117" t="s">
        <v>90</v>
      </c>
      <c r="AB3" s="117" t="s">
        <v>90</v>
      </c>
      <c r="AC3" s="118" t="s">
        <v>87</v>
      </c>
      <c r="AD3" s="118" t="s">
        <v>88</v>
      </c>
      <c r="AE3" s="118" t="s">
        <v>89</v>
      </c>
      <c r="AF3" s="117" t="s">
        <v>90</v>
      </c>
      <c r="AG3" s="211"/>
      <c r="AH3" s="119" t="s">
        <v>93</v>
      </c>
      <c r="AI3" s="120">
        <f>MONTH('Calculation Sheet'!$J$9)</f>
        <v>1</v>
      </c>
      <c r="AK3" s="118" t="s">
        <v>87</v>
      </c>
      <c r="AL3" s="118" t="s">
        <v>88</v>
      </c>
      <c r="AM3" s="118" t="s">
        <v>89</v>
      </c>
      <c r="AN3" s="121" t="s">
        <v>98</v>
      </c>
    </row>
    <row r="4" spans="1:44" ht="13.8" thickBot="1">
      <c r="A4" s="122" t="str">
        <f>'Calculation Sheet'!Q44</f>
        <v>Beat 1 Non-Network</v>
      </c>
      <c r="B4" s="122"/>
      <c r="C4" s="123" t="str">
        <f>TRIM(A4&amp;B4)</f>
        <v>Beat 1 Non-Network</v>
      </c>
      <c r="D4" s="124">
        <v>2523</v>
      </c>
      <c r="E4" s="124">
        <v>1959</v>
      </c>
      <c r="F4" s="124">
        <v>1061</v>
      </c>
      <c r="G4" s="125"/>
      <c r="H4" s="125"/>
      <c r="I4" s="125"/>
      <c r="J4" s="124"/>
      <c r="K4" s="124"/>
      <c r="L4" s="124"/>
      <c r="M4" s="126"/>
      <c r="N4" s="126"/>
      <c r="O4" s="126"/>
      <c r="P4" s="126"/>
      <c r="Q4" s="127" t="str">
        <f t="shared" ref="Q4:Q21" si="0">IF((G4+Adults*H4+MIN(Children,$AG4)*I4)&gt;0,$AI$4*(G4+Adults*H4+MIN(Children,$AG4)*I4),"Not Applicable")</f>
        <v>Not Applicable</v>
      </c>
      <c r="R4" s="127" t="str">
        <f>Q4</f>
        <v>Not Applicable</v>
      </c>
      <c r="S4" s="127" t="str">
        <f t="shared" ref="S4:S21" si="1">IF(($AI$4/12)*(J4+Adults*K4+MIN(Children,$AG4)*L4)&gt;0,($AI$4/12)*(J4+Adults*K4+MIN(Children,$AG4)*L4),"Not Applicable")</f>
        <v>Not Applicable</v>
      </c>
      <c r="T4" s="127" t="str">
        <f>IFERROR(MAX(0,S4-R4),"Not Applicable")</f>
        <v>Not Applicable</v>
      </c>
      <c r="U4" s="128">
        <f t="shared" ref="U4:U21" si="2">(D4+(Spouse+Adults)*E4+MIN(Children,$AG4)*F4)</f>
        <v>5706</v>
      </c>
      <c r="V4" s="128">
        <f t="shared" ref="V4:V21" si="3">(G4+(Spouse+Adults)*H4+MIN(Children,$AG4)*I4)</f>
        <v>0</v>
      </c>
      <c r="W4" s="126"/>
      <c r="X4" s="129"/>
      <c r="Y4" s="129"/>
      <c r="Z4" s="129"/>
      <c r="AA4" s="123" t="str">
        <f t="shared" ref="AA4:AA21" si="4">IF(X4+MIN(Adults+Children,1)*Y4&gt;0,X4+MIN(Adults+Children,1)*Y4,"Not Applicable")</f>
        <v>Not Applicable</v>
      </c>
      <c r="AB4" s="127" t="str">
        <f>IF(IFERROR(R4*1,0)+IFERROR(AA4*1,0)=0,"Not Applicable",IFERROR(R4*1,0)+IFERROR(AA4*1,0))</f>
        <v>Not Applicable</v>
      </c>
      <c r="AC4" s="129"/>
      <c r="AD4" s="129"/>
      <c r="AE4" s="129"/>
      <c r="AF4" s="128" t="str">
        <f t="shared" ref="AF4:AF21" si="5">IF((AC4+Adults*AD4+MIN(Children,$AG4)*AE4)&gt;0,(AC4+Adults*AD4+MIN(Children,$AG4)*AE4),"Not Applicable")</f>
        <v>Not Applicable</v>
      </c>
      <c r="AG4" s="122">
        <v>3</v>
      </c>
      <c r="AH4" s="130" t="s">
        <v>94</v>
      </c>
      <c r="AI4" s="131">
        <f>13-AI3</f>
        <v>12</v>
      </c>
      <c r="AJ4" s="132"/>
      <c r="AK4" s="194">
        <f>1787</f>
        <v>1787</v>
      </c>
      <c r="AL4" s="194">
        <f>IF(Spouse="",0,Spouse)*1594</f>
        <v>0</v>
      </c>
      <c r="AM4" s="194">
        <f t="shared" ref="AM4:AM21" si="6">MIN(IF(Children="",0,Children),AG4)*461</f>
        <v>0</v>
      </c>
      <c r="AN4" s="140">
        <f>SUM(AK4:AM4)</f>
        <v>1787</v>
      </c>
    </row>
    <row r="5" spans="1:44" ht="13.2">
      <c r="A5" s="122" t="s">
        <v>99</v>
      </c>
      <c r="B5" s="122"/>
      <c r="C5" s="123" t="str">
        <f t="shared" ref="C5:C21" si="7">TRIM(A5&amp;B5)</f>
        <v>Beat 1 Network</v>
      </c>
      <c r="D5" s="124">
        <v>2269</v>
      </c>
      <c r="E5" s="124">
        <v>1764</v>
      </c>
      <c r="F5" s="124">
        <v>956</v>
      </c>
      <c r="G5" s="125"/>
      <c r="H5" s="125"/>
      <c r="I5" s="125"/>
      <c r="J5" s="124"/>
      <c r="K5" s="124"/>
      <c r="L5" s="124"/>
      <c r="M5" s="126"/>
      <c r="N5" s="126"/>
      <c r="O5" s="126"/>
      <c r="P5" s="126"/>
      <c r="Q5" s="127" t="str">
        <f t="shared" si="0"/>
        <v>Not Applicable</v>
      </c>
      <c r="R5" s="127" t="str">
        <f t="shared" ref="R5:R21" si="8">Q5</f>
        <v>Not Applicable</v>
      </c>
      <c r="S5" s="127" t="str">
        <f t="shared" si="1"/>
        <v>Not Applicable</v>
      </c>
      <c r="T5" s="127" t="str">
        <f t="shared" ref="T5:T21" si="9">IFERROR(MAX(0,S5-R5),"Not Applicable")</f>
        <v>Not Applicable</v>
      </c>
      <c r="U5" s="128">
        <f t="shared" si="2"/>
        <v>5137</v>
      </c>
      <c r="V5" s="128">
        <f t="shared" si="3"/>
        <v>0</v>
      </c>
      <c r="W5" s="126"/>
      <c r="X5" s="129"/>
      <c r="Y5" s="129"/>
      <c r="Z5" s="129"/>
      <c r="AA5" s="123" t="str">
        <f t="shared" si="4"/>
        <v>Not Applicable</v>
      </c>
      <c r="AB5" s="127" t="str">
        <f t="shared" ref="AB5:AB21" si="10">IF(IFERROR(R5*1,0)+IFERROR(AA5*1,0)=0,"Not Applicable",IFERROR(R5*1,0)+IFERROR(AA5*1,0))</f>
        <v>Not Applicable</v>
      </c>
      <c r="AC5" s="129"/>
      <c r="AD5" s="129"/>
      <c r="AE5" s="129"/>
      <c r="AF5" s="128" t="str">
        <f t="shared" si="5"/>
        <v>Not Applicable</v>
      </c>
      <c r="AG5" s="122">
        <v>3</v>
      </c>
      <c r="AH5" s="5" t="s">
        <v>95</v>
      </c>
      <c r="AI5" s="5">
        <v>0</v>
      </c>
      <c r="AK5" s="194">
        <f>1787</f>
        <v>1787</v>
      </c>
      <c r="AL5" s="194">
        <f>IF(Spouse="",0,Spouse)*1594</f>
        <v>0</v>
      </c>
      <c r="AM5" s="194">
        <f t="shared" si="6"/>
        <v>0</v>
      </c>
      <c r="AN5" s="140">
        <f t="shared" ref="AN5:AN22" si="11">SUM(AK5:AM5)</f>
        <v>1787</v>
      </c>
    </row>
    <row r="6" spans="1:44" ht="13.2">
      <c r="A6" s="122" t="str">
        <f>'Calculation Sheet'!Q46</f>
        <v>Beat 2 Non-Network</v>
      </c>
      <c r="B6" s="122"/>
      <c r="C6" s="123" t="str">
        <f t="shared" si="7"/>
        <v>Beat 2 Non-Network</v>
      </c>
      <c r="D6" s="124">
        <v>2591</v>
      </c>
      <c r="E6" s="124">
        <v>2012</v>
      </c>
      <c r="F6" s="124">
        <v>1091</v>
      </c>
      <c r="G6" s="125">
        <v>493</v>
      </c>
      <c r="H6" s="125">
        <v>383</v>
      </c>
      <c r="I6" s="125">
        <v>208</v>
      </c>
      <c r="J6" s="124"/>
      <c r="K6" s="124"/>
      <c r="L6" s="124"/>
      <c r="M6" s="126"/>
      <c r="N6" s="126"/>
      <c r="O6" s="126"/>
      <c r="P6" s="126"/>
      <c r="Q6" s="127">
        <f t="shared" ref="Q6:Q15" si="12">IF((G6+Adults*H6+MIN(Children,$AG6)*I6)&gt;0,$AI$4*(G6+(Adults+Spouse)*H6+MIN(Children,$AG6)*I6),"Not Applicable")</f>
        <v>13404</v>
      </c>
      <c r="R6" s="127">
        <f t="shared" si="8"/>
        <v>13404</v>
      </c>
      <c r="S6" s="127" t="str">
        <f t="shared" si="1"/>
        <v>Not Applicable</v>
      </c>
      <c r="T6" s="127" t="str">
        <f t="shared" si="9"/>
        <v>Not Applicable</v>
      </c>
      <c r="U6" s="128">
        <f t="shared" si="2"/>
        <v>5864</v>
      </c>
      <c r="V6" s="128">
        <f t="shared" si="3"/>
        <v>1117</v>
      </c>
      <c r="W6" s="126"/>
      <c r="X6" s="129"/>
      <c r="Y6" s="129"/>
      <c r="Z6" s="129"/>
      <c r="AA6" s="123" t="s">
        <v>64</v>
      </c>
      <c r="AB6" s="127" t="str">
        <f>AA6</f>
        <v>Savings Only</v>
      </c>
      <c r="AC6" s="129"/>
      <c r="AD6" s="129"/>
      <c r="AE6" s="129"/>
      <c r="AF6" s="128" t="str">
        <f t="shared" si="5"/>
        <v>Not Applicable</v>
      </c>
      <c r="AG6" s="122">
        <v>3</v>
      </c>
      <c r="AK6" s="194">
        <f>1787</f>
        <v>1787</v>
      </c>
      <c r="AL6" s="194">
        <f>IF(Spouse="",0,Spouse)*1594</f>
        <v>0</v>
      </c>
      <c r="AM6" s="194">
        <f t="shared" si="6"/>
        <v>0</v>
      </c>
      <c r="AN6" s="140">
        <f t="shared" si="11"/>
        <v>1787</v>
      </c>
    </row>
    <row r="7" spans="1:44" ht="13.2">
      <c r="A7" s="122" t="s">
        <v>100</v>
      </c>
      <c r="B7" s="122"/>
      <c r="C7" s="123" t="str">
        <f t="shared" si="7"/>
        <v>Beat 2 Network</v>
      </c>
      <c r="D7" s="124">
        <v>2331</v>
      </c>
      <c r="E7" s="124">
        <v>1811</v>
      </c>
      <c r="F7" s="124">
        <v>980</v>
      </c>
      <c r="G7" s="125">
        <v>444</v>
      </c>
      <c r="H7" s="125">
        <v>345</v>
      </c>
      <c r="I7" s="125">
        <v>187</v>
      </c>
      <c r="J7" s="124"/>
      <c r="K7" s="124"/>
      <c r="L7" s="124"/>
      <c r="M7" s="126"/>
      <c r="N7" s="126"/>
      <c r="O7" s="126"/>
      <c r="P7" s="126"/>
      <c r="Q7" s="127">
        <f t="shared" si="12"/>
        <v>12060</v>
      </c>
      <c r="R7" s="127">
        <f t="shared" si="8"/>
        <v>12060</v>
      </c>
      <c r="S7" s="127" t="str">
        <f t="shared" si="1"/>
        <v>Not Applicable</v>
      </c>
      <c r="T7" s="127" t="str">
        <f t="shared" si="9"/>
        <v>Not Applicable</v>
      </c>
      <c r="U7" s="128">
        <f t="shared" si="2"/>
        <v>5271</v>
      </c>
      <c r="V7" s="128">
        <f t="shared" si="3"/>
        <v>1005</v>
      </c>
      <c r="W7" s="126"/>
      <c r="X7" s="129"/>
      <c r="Y7" s="129"/>
      <c r="Z7" s="129"/>
      <c r="AA7" s="123" t="s">
        <v>64</v>
      </c>
      <c r="AB7" s="127" t="str">
        <f t="shared" ref="AB7:AB10" si="13">AA7</f>
        <v>Savings Only</v>
      </c>
      <c r="AC7" s="129"/>
      <c r="AD7" s="129"/>
      <c r="AE7" s="129"/>
      <c r="AF7" s="128" t="str">
        <f t="shared" si="5"/>
        <v>Not Applicable</v>
      </c>
      <c r="AG7" s="122">
        <v>3</v>
      </c>
      <c r="AK7" s="194">
        <f>1787</f>
        <v>1787</v>
      </c>
      <c r="AL7" s="194">
        <f>IF(Spouse="",0,Spouse)*1594</f>
        <v>0</v>
      </c>
      <c r="AM7" s="194">
        <f t="shared" si="6"/>
        <v>0</v>
      </c>
      <c r="AN7" s="140">
        <f t="shared" si="11"/>
        <v>1787</v>
      </c>
    </row>
    <row r="8" spans="1:44" ht="13.2">
      <c r="A8" s="122" t="str">
        <f>'Calculation Sheet'!Q48</f>
        <v>Beat 3 Non-Network</v>
      </c>
      <c r="B8" s="122"/>
      <c r="C8" s="123" t="str">
        <f t="shared" si="7"/>
        <v>Beat 3 Non-Network</v>
      </c>
      <c r="D8" s="124">
        <v>3837</v>
      </c>
      <c r="E8" s="124">
        <v>2737</v>
      </c>
      <c r="F8" s="124">
        <v>1354</v>
      </c>
      <c r="G8" s="125">
        <v>677</v>
      </c>
      <c r="H8" s="125">
        <v>483</v>
      </c>
      <c r="I8" s="125">
        <v>239</v>
      </c>
      <c r="J8" s="124"/>
      <c r="K8" s="124"/>
      <c r="L8" s="124"/>
      <c r="M8" s="126"/>
      <c r="N8" s="126"/>
      <c r="O8" s="126"/>
      <c r="P8" s="126"/>
      <c r="Q8" s="127">
        <f t="shared" si="12"/>
        <v>16728</v>
      </c>
      <c r="R8" s="127">
        <f t="shared" si="8"/>
        <v>16728</v>
      </c>
      <c r="S8" s="127" t="str">
        <f t="shared" si="1"/>
        <v>Not Applicable</v>
      </c>
      <c r="T8" s="127" t="str">
        <f t="shared" si="9"/>
        <v>Not Applicable</v>
      </c>
      <c r="U8" s="128">
        <f t="shared" si="2"/>
        <v>7899</v>
      </c>
      <c r="V8" s="128">
        <f t="shared" si="3"/>
        <v>1394</v>
      </c>
      <c r="W8" s="126"/>
      <c r="X8" s="129"/>
      <c r="Y8" s="129"/>
      <c r="Z8" s="129"/>
      <c r="AA8" s="123" t="s">
        <v>64</v>
      </c>
      <c r="AB8" s="127" t="str">
        <f t="shared" si="13"/>
        <v>Savings Only</v>
      </c>
      <c r="AC8" s="129"/>
      <c r="AD8" s="129"/>
      <c r="AE8" s="129"/>
      <c r="AF8" s="128" t="str">
        <f t="shared" si="5"/>
        <v>Not Applicable</v>
      </c>
      <c r="AG8" s="122">
        <v>3</v>
      </c>
      <c r="AK8" s="129">
        <f>3506</f>
        <v>3506</v>
      </c>
      <c r="AL8" s="129">
        <f>2828*Spouse</f>
        <v>0</v>
      </c>
      <c r="AM8" s="194">
        <f>MIN(IF(Children="",0,Children),AG8)*524</f>
        <v>0</v>
      </c>
      <c r="AN8" s="140">
        <f t="shared" si="11"/>
        <v>3506</v>
      </c>
    </row>
    <row r="9" spans="1:44" ht="13.2">
      <c r="A9" s="122" t="s">
        <v>101</v>
      </c>
      <c r="B9" s="122"/>
      <c r="C9" s="123" t="str">
        <f t="shared" si="7"/>
        <v>Beat 3 Network</v>
      </c>
      <c r="D9" s="124">
        <v>3453</v>
      </c>
      <c r="E9" s="124">
        <v>2463</v>
      </c>
      <c r="F9" s="124">
        <v>1219</v>
      </c>
      <c r="G9" s="125">
        <v>609</v>
      </c>
      <c r="H9" s="125">
        <v>435</v>
      </c>
      <c r="I9" s="125">
        <v>215</v>
      </c>
      <c r="J9" s="124"/>
      <c r="K9" s="124"/>
      <c r="L9" s="124"/>
      <c r="M9" s="126"/>
      <c r="N9" s="126"/>
      <c r="O9" s="126"/>
      <c r="P9" s="126"/>
      <c r="Q9" s="127">
        <f t="shared" si="12"/>
        <v>15048</v>
      </c>
      <c r="R9" s="127">
        <f t="shared" si="8"/>
        <v>15048</v>
      </c>
      <c r="S9" s="127" t="str">
        <f t="shared" si="1"/>
        <v>Not Applicable</v>
      </c>
      <c r="T9" s="127" t="str">
        <f t="shared" si="9"/>
        <v>Not Applicable</v>
      </c>
      <c r="U9" s="128">
        <f t="shared" si="2"/>
        <v>7110</v>
      </c>
      <c r="V9" s="128">
        <f t="shared" si="3"/>
        <v>1254</v>
      </c>
      <c r="W9" s="126"/>
      <c r="X9" s="129"/>
      <c r="Y9" s="129"/>
      <c r="Z9" s="129"/>
      <c r="AA9" s="123" t="s">
        <v>64</v>
      </c>
      <c r="AB9" s="127" t="str">
        <f t="shared" si="13"/>
        <v>Savings Only</v>
      </c>
      <c r="AC9" s="129"/>
      <c r="AD9" s="129"/>
      <c r="AE9" s="129"/>
      <c r="AF9" s="128" t="str">
        <f t="shared" si="5"/>
        <v>Not Applicable</v>
      </c>
      <c r="AG9" s="122">
        <v>3</v>
      </c>
      <c r="AK9" s="194">
        <f>1787</f>
        <v>1787</v>
      </c>
      <c r="AL9" s="194">
        <f>IF(Spouse="",0,Spouse)*1594</f>
        <v>0</v>
      </c>
      <c r="AM9" s="194">
        <f t="shared" si="6"/>
        <v>0</v>
      </c>
      <c r="AN9" s="140">
        <f t="shared" si="11"/>
        <v>1787</v>
      </c>
    </row>
    <row r="10" spans="1:44" ht="13.2">
      <c r="A10" s="122" t="s">
        <v>58</v>
      </c>
      <c r="B10" s="122"/>
      <c r="C10" s="123" t="str">
        <f t="shared" si="7"/>
        <v>Beat 3 Plus</v>
      </c>
      <c r="D10" s="124">
        <v>3781</v>
      </c>
      <c r="E10" s="124">
        <v>2809</v>
      </c>
      <c r="F10" s="124">
        <v>1426</v>
      </c>
      <c r="G10" s="125">
        <v>1261</v>
      </c>
      <c r="H10" s="125">
        <v>937</v>
      </c>
      <c r="I10" s="125">
        <v>476</v>
      </c>
      <c r="J10" s="124"/>
      <c r="K10" s="124"/>
      <c r="L10" s="124"/>
      <c r="M10" s="126"/>
      <c r="N10" s="126"/>
      <c r="O10" s="126"/>
      <c r="P10" s="126"/>
      <c r="Q10" s="127">
        <f t="shared" si="12"/>
        <v>32268</v>
      </c>
      <c r="R10" s="127">
        <f t="shared" si="8"/>
        <v>32268</v>
      </c>
      <c r="S10" s="127" t="str">
        <f t="shared" si="1"/>
        <v>Not Applicable</v>
      </c>
      <c r="T10" s="127" t="str">
        <f t="shared" si="9"/>
        <v>Not Applicable</v>
      </c>
      <c r="U10" s="128">
        <f t="shared" si="2"/>
        <v>8059</v>
      </c>
      <c r="V10" s="128">
        <f t="shared" si="3"/>
        <v>2689</v>
      </c>
      <c r="W10" s="126"/>
      <c r="X10" s="129"/>
      <c r="Y10" s="129"/>
      <c r="Z10" s="129"/>
      <c r="AA10" s="123" t="s">
        <v>64</v>
      </c>
      <c r="AB10" s="127" t="str">
        <f t="shared" si="13"/>
        <v>Savings Only</v>
      </c>
      <c r="AC10" s="129"/>
      <c r="AD10" s="129"/>
      <c r="AE10" s="129"/>
      <c r="AF10" s="128" t="str">
        <f t="shared" si="5"/>
        <v>Not Applicable</v>
      </c>
      <c r="AG10" s="122">
        <v>3</v>
      </c>
      <c r="AK10" s="129">
        <f>3506</f>
        <v>3506</v>
      </c>
      <c r="AL10" s="129">
        <f t="shared" ref="AL10:AL15" si="14">2828*Spouse</f>
        <v>0</v>
      </c>
      <c r="AM10" s="194">
        <f t="shared" ref="AM10:AM15" si="15">MIN(IF(Children="",0,Children),AG10)*524</f>
        <v>0</v>
      </c>
      <c r="AN10" s="140">
        <f t="shared" si="11"/>
        <v>3506</v>
      </c>
    </row>
    <row r="11" spans="1:44" ht="13.2">
      <c r="A11" s="122" t="str">
        <f>'Calculation Sheet'!Q51</f>
        <v>Beat 4 Non-Network</v>
      </c>
      <c r="B11" s="122"/>
      <c r="C11" s="123" t="str">
        <f t="shared" si="7"/>
        <v>Beat 4 Non-Network</v>
      </c>
      <c r="D11" s="124">
        <v>6334</v>
      </c>
      <c r="E11" s="124">
        <v>5231</v>
      </c>
      <c r="F11" s="124">
        <v>1566</v>
      </c>
      <c r="G11" s="125">
        <v>1031</v>
      </c>
      <c r="H11" s="125">
        <v>851</v>
      </c>
      <c r="I11" s="125">
        <v>255</v>
      </c>
      <c r="J11" s="124"/>
      <c r="K11" s="124"/>
      <c r="L11" s="124"/>
      <c r="M11" s="126"/>
      <c r="N11" s="126"/>
      <c r="O11" s="126"/>
      <c r="P11" s="126"/>
      <c r="Q11" s="127">
        <f t="shared" si="12"/>
        <v>21552</v>
      </c>
      <c r="R11" s="127">
        <f t="shared" si="8"/>
        <v>21552</v>
      </c>
      <c r="S11" s="127" t="str">
        <f t="shared" si="1"/>
        <v>Not Applicable</v>
      </c>
      <c r="T11" s="127" t="str">
        <f t="shared" si="9"/>
        <v>Not Applicable</v>
      </c>
      <c r="U11" s="128">
        <f t="shared" si="2"/>
        <v>11032</v>
      </c>
      <c r="V11" s="128">
        <f t="shared" si="3"/>
        <v>1796</v>
      </c>
      <c r="W11" s="126"/>
      <c r="X11" s="129">
        <v>16227</v>
      </c>
      <c r="Y11" s="196">
        <v>16225</v>
      </c>
      <c r="Z11" s="196">
        <f>Y11</f>
        <v>16225</v>
      </c>
      <c r="AA11" s="123">
        <f>IF(X11+MIN(Adults+Children,1)*Y11&gt;0,X11+MIN(Spouse+Adults+Children,1)*Y11,"Not Applicable")</f>
        <v>16227</v>
      </c>
      <c r="AB11" s="123">
        <f>IF(X11+MIN(Spouse+Adults+Children,1)*Y11&gt;0,X11+MIN(Spouse+Adults+Children,1)*Y11,"Not Applicable")</f>
        <v>16227</v>
      </c>
      <c r="AC11" s="129"/>
      <c r="AD11" s="129"/>
      <c r="AE11" s="129"/>
      <c r="AF11" s="128" t="str">
        <f t="shared" si="5"/>
        <v>Not Applicable</v>
      </c>
      <c r="AG11" s="122">
        <v>3</v>
      </c>
      <c r="AK11" s="129">
        <f>3506</f>
        <v>3506</v>
      </c>
      <c r="AL11" s="129">
        <f t="shared" si="14"/>
        <v>0</v>
      </c>
      <c r="AM11" s="194">
        <f t="shared" si="15"/>
        <v>0</v>
      </c>
      <c r="AN11" s="140">
        <f t="shared" si="11"/>
        <v>3506</v>
      </c>
    </row>
    <row r="12" spans="1:44" ht="13.2">
      <c r="A12" s="122" t="s">
        <v>41</v>
      </c>
      <c r="B12" s="122"/>
      <c r="C12" s="123" t="str">
        <f t="shared" si="7"/>
        <v>Pace 1</v>
      </c>
      <c r="D12" s="124">
        <v>4807</v>
      </c>
      <c r="E12" s="124">
        <v>3474</v>
      </c>
      <c r="F12" s="124">
        <v>1248</v>
      </c>
      <c r="G12" s="125">
        <v>1127</v>
      </c>
      <c r="H12" s="125">
        <v>815</v>
      </c>
      <c r="I12" s="125">
        <v>293</v>
      </c>
      <c r="J12" s="124"/>
      <c r="K12" s="124"/>
      <c r="L12" s="124"/>
      <c r="M12" s="126"/>
      <c r="N12" s="126"/>
      <c r="O12" s="126"/>
      <c r="P12" s="126"/>
      <c r="Q12" s="127">
        <f t="shared" si="12"/>
        <v>24072</v>
      </c>
      <c r="R12" s="127">
        <f t="shared" si="8"/>
        <v>24072</v>
      </c>
      <c r="S12" s="127" t="str">
        <f t="shared" si="1"/>
        <v>Not Applicable</v>
      </c>
      <c r="T12" s="127" t="str">
        <f t="shared" si="9"/>
        <v>Not Applicable</v>
      </c>
      <c r="U12" s="128">
        <f t="shared" si="2"/>
        <v>8551</v>
      </c>
      <c r="V12" s="128">
        <f t="shared" si="3"/>
        <v>2006</v>
      </c>
      <c r="W12" s="126"/>
      <c r="X12" s="129">
        <v>13794</v>
      </c>
      <c r="Y12" s="129">
        <f>27586-X12</f>
        <v>13792</v>
      </c>
      <c r="Z12" s="129">
        <f>27586-X12</f>
        <v>13792</v>
      </c>
      <c r="AA12" s="123">
        <f>IF(X12+MIN(Adults+Children,1)*Y12&gt;0,X12+MIN(Spouse+Adults+Children,1)*Y12,"Not Applicable")</f>
        <v>13794</v>
      </c>
      <c r="AB12" s="127">
        <f>IF(IFERROR(R12*1,0)+IFERROR(AA12*1,0)=0,"Not Applicable",IFERROR(AA12*1,0))</f>
        <v>13794</v>
      </c>
      <c r="AC12" s="129"/>
      <c r="AD12" s="129"/>
      <c r="AE12" s="129"/>
      <c r="AF12" s="128" t="str">
        <f t="shared" si="5"/>
        <v>Not Applicable</v>
      </c>
      <c r="AG12" s="122">
        <v>3</v>
      </c>
      <c r="AK12" s="129">
        <f>3506</f>
        <v>3506</v>
      </c>
      <c r="AL12" s="129">
        <f t="shared" si="14"/>
        <v>0</v>
      </c>
      <c r="AM12" s="194">
        <f t="shared" si="15"/>
        <v>0</v>
      </c>
      <c r="AN12" s="140">
        <f t="shared" si="11"/>
        <v>3506</v>
      </c>
    </row>
    <row r="13" spans="1:44" ht="13.2">
      <c r="A13" s="122" t="s">
        <v>43</v>
      </c>
      <c r="B13" s="122"/>
      <c r="C13" s="123" t="str">
        <f t="shared" si="7"/>
        <v>Pace 2</v>
      </c>
      <c r="D13" s="124">
        <v>7539</v>
      </c>
      <c r="E13" s="124">
        <v>7393</v>
      </c>
      <c r="F13" s="124">
        <v>1662</v>
      </c>
      <c r="G13" s="125">
        <v>1227</v>
      </c>
      <c r="H13" s="125">
        <v>1203</v>
      </c>
      <c r="I13" s="125">
        <v>271</v>
      </c>
      <c r="J13" s="124"/>
      <c r="K13" s="124"/>
      <c r="L13" s="124"/>
      <c r="M13" s="126"/>
      <c r="N13" s="126"/>
      <c r="O13" s="126"/>
      <c r="P13" s="126"/>
      <c r="Q13" s="127">
        <f t="shared" si="12"/>
        <v>24480</v>
      </c>
      <c r="R13" s="127">
        <f t="shared" si="8"/>
        <v>24480</v>
      </c>
      <c r="S13" s="127" t="str">
        <f t="shared" si="1"/>
        <v>Not Applicable</v>
      </c>
      <c r="T13" s="127" t="str">
        <f t="shared" si="9"/>
        <v>Not Applicable</v>
      </c>
      <c r="U13" s="128">
        <f t="shared" si="2"/>
        <v>12525</v>
      </c>
      <c r="V13" s="128">
        <f t="shared" si="3"/>
        <v>2040</v>
      </c>
      <c r="W13" s="126"/>
      <c r="X13" s="129">
        <v>17233</v>
      </c>
      <c r="Y13" s="129">
        <f>34465-X13</f>
        <v>17232</v>
      </c>
      <c r="Z13" s="129">
        <f>Y13</f>
        <v>17232</v>
      </c>
      <c r="AA13" s="123">
        <f>IF(X13+MIN(Adults+Children,1)*Y13&gt;0,X13+MIN(Spouse+Adults+Children,1)*Y13,"Not Applicable")</f>
        <v>17233</v>
      </c>
      <c r="AB13" s="127">
        <f t="shared" ref="AB13:AB15" si="16">IF(IFERROR(R13*1,0)+IFERROR(AA13*1,0)=0,"Not Applicable",IFERROR(AA13*1,0))</f>
        <v>17233</v>
      </c>
      <c r="AC13" s="129"/>
      <c r="AD13" s="129"/>
      <c r="AE13" s="129"/>
      <c r="AF13" s="128" t="str">
        <f t="shared" si="5"/>
        <v>Not Applicable</v>
      </c>
      <c r="AG13" s="122">
        <v>3</v>
      </c>
      <c r="AK13" s="129">
        <f>3506</f>
        <v>3506</v>
      </c>
      <c r="AL13" s="129">
        <f t="shared" si="14"/>
        <v>0</v>
      </c>
      <c r="AM13" s="194">
        <f t="shared" si="15"/>
        <v>0</v>
      </c>
      <c r="AN13" s="140">
        <f t="shared" si="11"/>
        <v>3506</v>
      </c>
    </row>
    <row r="14" spans="1:44" ht="13.2">
      <c r="A14" s="122" t="s">
        <v>45</v>
      </c>
      <c r="B14" s="122"/>
      <c r="C14" s="123" t="str">
        <f t="shared" si="7"/>
        <v>Pace 3</v>
      </c>
      <c r="D14" s="124">
        <v>8655</v>
      </c>
      <c r="E14" s="124">
        <v>6967</v>
      </c>
      <c r="F14" s="124">
        <v>1489</v>
      </c>
      <c r="G14" s="125">
        <v>1409</v>
      </c>
      <c r="H14" s="125">
        <v>1134</v>
      </c>
      <c r="I14" s="125">
        <v>242</v>
      </c>
      <c r="J14" s="124"/>
      <c r="K14" s="124"/>
      <c r="L14" s="124"/>
      <c r="M14" s="126"/>
      <c r="N14" s="126"/>
      <c r="O14" s="126"/>
      <c r="P14" s="126"/>
      <c r="Q14" s="127">
        <f t="shared" si="12"/>
        <v>25620</v>
      </c>
      <c r="R14" s="127">
        <f t="shared" si="8"/>
        <v>25620</v>
      </c>
      <c r="S14" s="127" t="str">
        <f t="shared" si="1"/>
        <v>Not Applicable</v>
      </c>
      <c r="T14" s="127" t="str">
        <f t="shared" si="9"/>
        <v>Not Applicable</v>
      </c>
      <c r="U14" s="128">
        <f t="shared" si="2"/>
        <v>13122</v>
      </c>
      <c r="V14" s="128">
        <f t="shared" si="3"/>
        <v>2135</v>
      </c>
      <c r="W14" s="126"/>
      <c r="X14" s="129">
        <v>23028</v>
      </c>
      <c r="Y14" s="129">
        <f>47590-X14</f>
        <v>24562</v>
      </c>
      <c r="Z14" s="129">
        <f>Y14</f>
        <v>24562</v>
      </c>
      <c r="AA14" s="123">
        <f>IF(X14+MIN(Adults+Children,1)*Y14&gt;0,X14+MIN(Spouse+Adults+Children,1)*Y14,"Not Applicable")</f>
        <v>23028</v>
      </c>
      <c r="AB14" s="127">
        <f t="shared" si="16"/>
        <v>23028</v>
      </c>
      <c r="AC14" s="129"/>
      <c r="AD14" s="129"/>
      <c r="AE14" s="129"/>
      <c r="AF14" s="128" t="str">
        <f t="shared" si="5"/>
        <v>Not Applicable</v>
      </c>
      <c r="AG14" s="122">
        <v>3</v>
      </c>
      <c r="AK14" s="129">
        <f>3506</f>
        <v>3506</v>
      </c>
      <c r="AL14" s="129">
        <f t="shared" si="14"/>
        <v>0</v>
      </c>
      <c r="AM14" s="194">
        <f t="shared" si="15"/>
        <v>0</v>
      </c>
      <c r="AN14" s="140">
        <f t="shared" si="11"/>
        <v>3506</v>
      </c>
    </row>
    <row r="15" spans="1:44" ht="13.2">
      <c r="A15" s="122" t="s">
        <v>46</v>
      </c>
      <c r="B15" s="122"/>
      <c r="C15" s="123" t="str">
        <f t="shared" si="7"/>
        <v>Pace 4</v>
      </c>
      <c r="D15" s="124">
        <v>12195</v>
      </c>
      <c r="E15" s="124">
        <v>12195</v>
      </c>
      <c r="F15" s="124">
        <v>2857</v>
      </c>
      <c r="G15" s="125">
        <v>377</v>
      </c>
      <c r="H15" s="125">
        <v>377</v>
      </c>
      <c r="I15" s="125">
        <v>88</v>
      </c>
      <c r="J15" s="124"/>
      <c r="K15" s="124"/>
      <c r="L15" s="124"/>
      <c r="M15" s="126"/>
      <c r="N15" s="126"/>
      <c r="O15" s="126"/>
      <c r="P15" s="126"/>
      <c r="Q15" s="127">
        <f t="shared" si="12"/>
        <v>7692</v>
      </c>
      <c r="R15" s="127">
        <f t="shared" si="8"/>
        <v>7692</v>
      </c>
      <c r="S15" s="127" t="str">
        <f t="shared" si="1"/>
        <v>Not Applicable</v>
      </c>
      <c r="T15" s="127" t="str">
        <f t="shared" si="9"/>
        <v>Not Applicable</v>
      </c>
      <c r="U15" s="128">
        <f t="shared" si="2"/>
        <v>20766</v>
      </c>
      <c r="V15" s="128">
        <f t="shared" si="3"/>
        <v>641</v>
      </c>
      <c r="W15" s="126"/>
      <c r="X15" s="129">
        <v>45375</v>
      </c>
      <c r="Y15" s="129">
        <f>73172-X15</f>
        <v>27797</v>
      </c>
      <c r="Z15" s="129">
        <f>Y15</f>
        <v>27797</v>
      </c>
      <c r="AA15" s="123">
        <f>IF(X15+MIN(Adults+Children,1)*Y15&gt;0,X15+MIN(Spouse+Adults+Children,1)*Y15,"Not Applicable")</f>
        <v>45375</v>
      </c>
      <c r="AB15" s="127">
        <f t="shared" si="16"/>
        <v>45375</v>
      </c>
      <c r="AC15" s="129"/>
      <c r="AD15" s="129"/>
      <c r="AE15" s="129"/>
      <c r="AF15" s="128" t="str">
        <f t="shared" si="5"/>
        <v>Not Applicable</v>
      </c>
      <c r="AG15" s="122">
        <v>3</v>
      </c>
      <c r="AK15" s="129">
        <f>3506</f>
        <v>3506</v>
      </c>
      <c r="AL15" s="129">
        <f t="shared" si="14"/>
        <v>0</v>
      </c>
      <c r="AM15" s="194">
        <f t="shared" si="15"/>
        <v>0</v>
      </c>
      <c r="AN15" s="140">
        <f t="shared" si="11"/>
        <v>3506</v>
      </c>
    </row>
    <row r="16" spans="1:44" ht="13.2">
      <c r="A16" s="122" t="s">
        <v>51</v>
      </c>
      <c r="B16" s="122" t="s">
        <v>53</v>
      </c>
      <c r="C16" s="123" t="str">
        <f t="shared" si="7"/>
        <v>Rhythm1R 0 - R 9 000</v>
      </c>
      <c r="D16" s="124">
        <v>1736</v>
      </c>
      <c r="E16" s="124">
        <v>1736</v>
      </c>
      <c r="F16" s="124">
        <v>715</v>
      </c>
      <c r="G16" s="125"/>
      <c r="H16" s="125"/>
      <c r="I16" s="125"/>
      <c r="J16" s="124"/>
      <c r="K16" s="124"/>
      <c r="L16" s="124"/>
      <c r="M16" s="126"/>
      <c r="N16" s="126"/>
      <c r="O16" s="126"/>
      <c r="P16" s="126"/>
      <c r="Q16" s="127" t="str">
        <f t="shared" si="0"/>
        <v>Not Applicable</v>
      </c>
      <c r="R16" s="127" t="str">
        <f t="shared" si="8"/>
        <v>Not Applicable</v>
      </c>
      <c r="S16" s="127" t="str">
        <f t="shared" si="1"/>
        <v>Not Applicable</v>
      </c>
      <c r="T16" s="127" t="str">
        <f t="shared" si="9"/>
        <v>Not Applicable</v>
      </c>
      <c r="U16" s="128">
        <f t="shared" si="2"/>
        <v>716736</v>
      </c>
      <c r="V16" s="128">
        <f t="shared" si="3"/>
        <v>0</v>
      </c>
      <c r="W16" s="126"/>
      <c r="X16" s="129"/>
      <c r="Y16" s="129"/>
      <c r="Z16" s="129"/>
      <c r="AA16" s="123" t="str">
        <f t="shared" si="4"/>
        <v>Not Applicable</v>
      </c>
      <c r="AB16" s="127" t="str">
        <f t="shared" si="10"/>
        <v>Not Applicable</v>
      </c>
      <c r="AC16" s="129"/>
      <c r="AD16" s="129"/>
      <c r="AE16" s="129"/>
      <c r="AF16" s="128" t="str">
        <f t="shared" si="5"/>
        <v>Not Applicable</v>
      </c>
      <c r="AG16" s="122">
        <v>1000</v>
      </c>
      <c r="AK16" s="129">
        <f>877</f>
        <v>877</v>
      </c>
      <c r="AL16" s="129">
        <f>1004*Spouse</f>
        <v>0</v>
      </c>
      <c r="AM16" s="194">
        <f>MIN(IF(Children="",0,Children),AG16)*231</f>
        <v>0</v>
      </c>
      <c r="AN16" s="140">
        <f t="shared" si="11"/>
        <v>877</v>
      </c>
    </row>
    <row r="17" spans="1:42" ht="13.2">
      <c r="A17" s="122" t="str">
        <f>A16</f>
        <v>Rhythm1</v>
      </c>
      <c r="B17" s="122" t="s">
        <v>54</v>
      </c>
      <c r="C17" s="123" t="str">
        <f t="shared" si="7"/>
        <v>Rhythm1R 9 001 - R 14 000</v>
      </c>
      <c r="D17" s="124">
        <v>2024</v>
      </c>
      <c r="E17" s="124">
        <v>2024</v>
      </c>
      <c r="F17" s="124">
        <v>860</v>
      </c>
      <c r="G17" s="125"/>
      <c r="H17" s="125"/>
      <c r="I17" s="125"/>
      <c r="J17" s="124"/>
      <c r="K17" s="124"/>
      <c r="L17" s="124"/>
      <c r="M17" s="126"/>
      <c r="N17" s="126"/>
      <c r="O17" s="126"/>
      <c r="P17" s="126"/>
      <c r="Q17" s="127" t="str">
        <f t="shared" si="0"/>
        <v>Not Applicable</v>
      </c>
      <c r="R17" s="127" t="str">
        <f t="shared" si="8"/>
        <v>Not Applicable</v>
      </c>
      <c r="S17" s="127" t="str">
        <f t="shared" si="1"/>
        <v>Not Applicable</v>
      </c>
      <c r="T17" s="127" t="str">
        <f t="shared" si="9"/>
        <v>Not Applicable</v>
      </c>
      <c r="U17" s="128">
        <f t="shared" si="2"/>
        <v>862024</v>
      </c>
      <c r="V17" s="128">
        <f t="shared" si="3"/>
        <v>0</v>
      </c>
      <c r="W17" s="126"/>
      <c r="X17" s="129"/>
      <c r="Y17" s="129"/>
      <c r="Z17" s="129"/>
      <c r="AA17" s="123" t="str">
        <f t="shared" si="4"/>
        <v>Not Applicable</v>
      </c>
      <c r="AB17" s="127" t="str">
        <f t="shared" si="10"/>
        <v>Not Applicable</v>
      </c>
      <c r="AC17" s="129"/>
      <c r="AD17" s="129"/>
      <c r="AE17" s="129"/>
      <c r="AF17" s="128" t="str">
        <f t="shared" si="5"/>
        <v>Not Applicable</v>
      </c>
      <c r="AG17" s="122">
        <v>1000</v>
      </c>
      <c r="AK17" s="129">
        <f>877</f>
        <v>877</v>
      </c>
      <c r="AL17" s="129">
        <f>1004*Spouse</f>
        <v>0</v>
      </c>
      <c r="AM17" s="194">
        <f>MIN(IF(Children="",0,Children),AG17)*231</f>
        <v>0</v>
      </c>
      <c r="AN17" s="140">
        <f t="shared" si="11"/>
        <v>877</v>
      </c>
    </row>
    <row r="18" spans="1:42" ht="13.2">
      <c r="A18" s="122" t="str">
        <f>A17</f>
        <v>Rhythm1</v>
      </c>
      <c r="B18" s="122" t="s">
        <v>55</v>
      </c>
      <c r="C18" s="123" t="str">
        <f t="shared" si="7"/>
        <v>Rhythm1R 14 001 +</v>
      </c>
      <c r="D18" s="124">
        <v>3615</v>
      </c>
      <c r="E18" s="124">
        <v>3615</v>
      </c>
      <c r="F18" s="124">
        <v>1873</v>
      </c>
      <c r="G18" s="125"/>
      <c r="H18" s="125"/>
      <c r="I18" s="125"/>
      <c r="J18" s="124"/>
      <c r="K18" s="124"/>
      <c r="L18" s="124"/>
      <c r="M18" s="126"/>
      <c r="N18" s="126"/>
      <c r="O18" s="126"/>
      <c r="P18" s="126"/>
      <c r="Q18" s="127" t="str">
        <f t="shared" si="0"/>
        <v>Not Applicable</v>
      </c>
      <c r="R18" s="127" t="str">
        <f t="shared" si="8"/>
        <v>Not Applicable</v>
      </c>
      <c r="S18" s="127" t="str">
        <f t="shared" si="1"/>
        <v>Not Applicable</v>
      </c>
      <c r="T18" s="127" t="str">
        <f t="shared" si="9"/>
        <v>Not Applicable</v>
      </c>
      <c r="U18" s="128">
        <f t="shared" si="2"/>
        <v>1876615</v>
      </c>
      <c r="V18" s="128">
        <f t="shared" si="3"/>
        <v>0</v>
      </c>
      <c r="W18" s="126"/>
      <c r="X18" s="129"/>
      <c r="Y18" s="129"/>
      <c r="Z18" s="129"/>
      <c r="AA18" s="123" t="str">
        <f t="shared" si="4"/>
        <v>Not Applicable</v>
      </c>
      <c r="AB18" s="127" t="str">
        <f t="shared" si="10"/>
        <v>Not Applicable</v>
      </c>
      <c r="AC18" s="129"/>
      <c r="AD18" s="129"/>
      <c r="AE18" s="129"/>
      <c r="AF18" s="128" t="str">
        <f t="shared" si="5"/>
        <v>Not Applicable</v>
      </c>
      <c r="AG18" s="122">
        <v>1000</v>
      </c>
      <c r="AK18" s="194">
        <f>1787</f>
        <v>1787</v>
      </c>
      <c r="AL18" s="194">
        <f>IF(Spouse="",0,Spouse)*1594</f>
        <v>0</v>
      </c>
      <c r="AM18" s="194">
        <f t="shared" si="6"/>
        <v>0</v>
      </c>
      <c r="AN18" s="140">
        <f t="shared" si="11"/>
        <v>1787</v>
      </c>
    </row>
    <row r="19" spans="1:42" ht="13.2">
      <c r="A19" s="122" t="s">
        <v>52</v>
      </c>
      <c r="B19" s="122" t="s">
        <v>60</v>
      </c>
      <c r="C19" s="123" t="str">
        <f t="shared" si="7"/>
        <v>Rhythm2R 0 - R 5 500</v>
      </c>
      <c r="D19" s="124">
        <v>2747</v>
      </c>
      <c r="E19" s="124">
        <v>2610</v>
      </c>
      <c r="F19" s="124">
        <v>1653</v>
      </c>
      <c r="G19" s="125"/>
      <c r="H19" s="125"/>
      <c r="I19" s="125"/>
      <c r="J19" s="124"/>
      <c r="K19" s="124"/>
      <c r="L19" s="124"/>
      <c r="M19" s="126"/>
      <c r="N19" s="126"/>
      <c r="O19" s="126"/>
      <c r="P19" s="126"/>
      <c r="Q19" s="127" t="str">
        <f t="shared" si="0"/>
        <v>Not Applicable</v>
      </c>
      <c r="R19" s="127" t="str">
        <f t="shared" si="8"/>
        <v>Not Applicable</v>
      </c>
      <c r="S19" s="127" t="str">
        <f t="shared" si="1"/>
        <v>Not Applicable</v>
      </c>
      <c r="T19" s="127" t="str">
        <f t="shared" si="9"/>
        <v>Not Applicable</v>
      </c>
      <c r="U19" s="128">
        <f t="shared" si="2"/>
        <v>7706</v>
      </c>
      <c r="V19" s="128">
        <f t="shared" si="3"/>
        <v>0</v>
      </c>
      <c r="W19" s="126"/>
      <c r="X19" s="129"/>
      <c r="Y19" s="129"/>
      <c r="Z19" s="129"/>
      <c r="AA19" s="123" t="str">
        <f t="shared" si="4"/>
        <v>Not Applicable</v>
      </c>
      <c r="AB19" s="127" t="str">
        <f t="shared" si="10"/>
        <v>Not Applicable</v>
      </c>
      <c r="AC19" s="129"/>
      <c r="AD19" s="129"/>
      <c r="AE19" s="129"/>
      <c r="AF19" s="128" t="str">
        <f t="shared" si="5"/>
        <v>Not Applicable</v>
      </c>
      <c r="AG19" s="122">
        <v>3</v>
      </c>
      <c r="AK19" s="194">
        <f>1787</f>
        <v>1787</v>
      </c>
      <c r="AL19" s="194">
        <f>IF(Spouse="",0,Spouse)*1594</f>
        <v>0</v>
      </c>
      <c r="AM19" s="194">
        <f t="shared" si="6"/>
        <v>0</v>
      </c>
      <c r="AN19" s="140">
        <f t="shared" si="11"/>
        <v>1787</v>
      </c>
    </row>
    <row r="20" spans="1:42" ht="13.2">
      <c r="A20" s="122" t="str">
        <f>A19</f>
        <v>Rhythm2</v>
      </c>
      <c r="B20" s="122" t="s">
        <v>61</v>
      </c>
      <c r="C20" s="123" t="str">
        <f t="shared" si="7"/>
        <v>Rhythm2R 5 501 - R 8 500</v>
      </c>
      <c r="D20" s="124">
        <v>3300</v>
      </c>
      <c r="E20" s="124">
        <v>3000</v>
      </c>
      <c r="F20" s="124">
        <v>1759</v>
      </c>
      <c r="G20" s="125"/>
      <c r="H20" s="125"/>
      <c r="I20" s="125"/>
      <c r="J20" s="124"/>
      <c r="K20" s="124"/>
      <c r="L20" s="124"/>
      <c r="M20" s="126"/>
      <c r="N20" s="126"/>
      <c r="O20" s="126"/>
      <c r="P20" s="126"/>
      <c r="Q20" s="127" t="str">
        <f t="shared" si="0"/>
        <v>Not Applicable</v>
      </c>
      <c r="R20" s="127" t="str">
        <f t="shared" si="8"/>
        <v>Not Applicable</v>
      </c>
      <c r="S20" s="127" t="str">
        <f t="shared" si="1"/>
        <v>Not Applicable</v>
      </c>
      <c r="T20" s="127" t="str">
        <f t="shared" si="9"/>
        <v>Not Applicable</v>
      </c>
      <c r="U20" s="128">
        <f t="shared" si="2"/>
        <v>8577</v>
      </c>
      <c r="V20" s="128">
        <f t="shared" si="3"/>
        <v>0</v>
      </c>
      <c r="W20" s="126"/>
      <c r="X20" s="129"/>
      <c r="Y20" s="129"/>
      <c r="Z20" s="129"/>
      <c r="AA20" s="123" t="str">
        <f t="shared" si="4"/>
        <v>Not Applicable</v>
      </c>
      <c r="AB20" s="127" t="str">
        <f t="shared" si="10"/>
        <v>Not Applicable</v>
      </c>
      <c r="AC20" s="129"/>
      <c r="AD20" s="129"/>
      <c r="AE20" s="129"/>
      <c r="AF20" s="128" t="str">
        <f t="shared" si="5"/>
        <v>Not Applicable</v>
      </c>
      <c r="AG20" s="122">
        <v>3</v>
      </c>
      <c r="AK20" s="194">
        <f>1787</f>
        <v>1787</v>
      </c>
      <c r="AL20" s="194">
        <f>IF(Spouse="",0,Spouse)*1594</f>
        <v>0</v>
      </c>
      <c r="AM20" s="194">
        <f t="shared" si="6"/>
        <v>0</v>
      </c>
      <c r="AN20" s="140">
        <f t="shared" si="11"/>
        <v>1787</v>
      </c>
    </row>
    <row r="21" spans="1:42" ht="13.2">
      <c r="A21" s="122" t="str">
        <f>A20</f>
        <v>Rhythm2</v>
      </c>
      <c r="B21" s="122" t="s">
        <v>62</v>
      </c>
      <c r="C21" s="123" t="str">
        <f t="shared" si="7"/>
        <v>Rhythm2R 8 501 +</v>
      </c>
      <c r="D21" s="124">
        <v>3516</v>
      </c>
      <c r="E21" s="124">
        <v>3165</v>
      </c>
      <c r="F21" s="124">
        <v>1759</v>
      </c>
      <c r="G21" s="125"/>
      <c r="H21" s="125"/>
      <c r="I21" s="125"/>
      <c r="J21" s="124"/>
      <c r="K21" s="124"/>
      <c r="L21" s="124"/>
      <c r="M21" s="126"/>
      <c r="N21" s="126"/>
      <c r="O21" s="126"/>
      <c r="P21" s="126"/>
      <c r="Q21" s="127" t="str">
        <f t="shared" si="0"/>
        <v>Not Applicable</v>
      </c>
      <c r="R21" s="127" t="str">
        <f t="shared" si="8"/>
        <v>Not Applicable</v>
      </c>
      <c r="S21" s="127" t="str">
        <f t="shared" si="1"/>
        <v>Not Applicable</v>
      </c>
      <c r="T21" s="127" t="str">
        <f t="shared" si="9"/>
        <v>Not Applicable</v>
      </c>
      <c r="U21" s="128">
        <f t="shared" si="2"/>
        <v>8793</v>
      </c>
      <c r="V21" s="128">
        <f t="shared" si="3"/>
        <v>0</v>
      </c>
      <c r="W21" s="126"/>
      <c r="X21" s="129"/>
      <c r="Y21" s="129"/>
      <c r="Z21" s="129"/>
      <c r="AA21" s="123" t="str">
        <f t="shared" si="4"/>
        <v>Not Applicable</v>
      </c>
      <c r="AB21" s="127" t="str">
        <f t="shared" si="10"/>
        <v>Not Applicable</v>
      </c>
      <c r="AC21" s="129"/>
      <c r="AD21" s="129"/>
      <c r="AE21" s="129"/>
      <c r="AF21" s="128" t="str">
        <f t="shared" si="5"/>
        <v>Not Applicable</v>
      </c>
      <c r="AG21" s="122">
        <v>3</v>
      </c>
      <c r="AK21" s="194">
        <f>1787</f>
        <v>1787</v>
      </c>
      <c r="AL21" s="194">
        <f>IF(Spouse="",0,Spouse)*1594</f>
        <v>0</v>
      </c>
      <c r="AM21" s="194">
        <f t="shared" si="6"/>
        <v>0</v>
      </c>
      <c r="AN21" s="140">
        <f t="shared" si="11"/>
        <v>1787</v>
      </c>
    </row>
    <row r="22" spans="1:42" ht="13.2">
      <c r="C22" s="5">
        <v>1</v>
      </c>
      <c r="D22" s="5">
        <f>C22+1</f>
        <v>2</v>
      </c>
      <c r="E22" s="5">
        <f t="shared" ref="E22:G22" si="17">D22+1</f>
        <v>3</v>
      </c>
      <c r="F22" s="5">
        <f t="shared" si="17"/>
        <v>4</v>
      </c>
      <c r="G22" s="5">
        <f t="shared" si="17"/>
        <v>5</v>
      </c>
      <c r="H22" s="5">
        <f t="shared" ref="H22" si="18">G22+1</f>
        <v>6</v>
      </c>
      <c r="I22" s="5">
        <f t="shared" ref="I22" si="19">H22+1</f>
        <v>7</v>
      </c>
      <c r="J22" s="5">
        <f t="shared" ref="J22" si="20">I22+1</f>
        <v>8</v>
      </c>
      <c r="K22" s="5">
        <f t="shared" ref="K22" si="21">J22+1</f>
        <v>9</v>
      </c>
      <c r="L22" s="5">
        <f t="shared" ref="L22" si="22">K22+1</f>
        <v>10</v>
      </c>
      <c r="M22" s="5">
        <f t="shared" ref="M22" si="23">L22+1</f>
        <v>11</v>
      </c>
      <c r="N22" s="5">
        <f t="shared" ref="N22" si="24">M22+1</f>
        <v>12</v>
      </c>
      <c r="O22" s="5">
        <f t="shared" ref="O22" si="25">N22+1</f>
        <v>13</v>
      </c>
      <c r="P22" s="5">
        <f t="shared" ref="P22" si="26">O22+1</f>
        <v>14</v>
      </c>
      <c r="Q22" s="5">
        <f t="shared" ref="Q22" si="27">P22+1</f>
        <v>15</v>
      </c>
      <c r="R22" s="5">
        <f t="shared" ref="R22" si="28">Q22+1</f>
        <v>16</v>
      </c>
      <c r="S22" s="5">
        <f t="shared" ref="S22" si="29">R22+1</f>
        <v>17</v>
      </c>
      <c r="T22" s="5">
        <f t="shared" ref="T22" si="30">S22+1</f>
        <v>18</v>
      </c>
      <c r="U22" s="5">
        <f t="shared" ref="U22" si="31">T22+1</f>
        <v>19</v>
      </c>
      <c r="V22" s="5">
        <f t="shared" ref="V22" si="32">U22+1</f>
        <v>20</v>
      </c>
      <c r="W22" s="5">
        <f t="shared" ref="W22" si="33">V22+1</f>
        <v>21</v>
      </c>
      <c r="X22" s="5">
        <f t="shared" ref="X22" si="34">W22+1</f>
        <v>22</v>
      </c>
      <c r="Y22" s="5">
        <f t="shared" ref="Y22" si="35">X22+1</f>
        <v>23</v>
      </c>
      <c r="Z22" s="5">
        <f t="shared" ref="Z22" si="36">Y22+1</f>
        <v>24</v>
      </c>
      <c r="AA22" s="5">
        <f t="shared" ref="AA22" si="37">Z22+1</f>
        <v>25</v>
      </c>
      <c r="AB22" s="5">
        <f t="shared" ref="AB22" si="38">AA22+1</f>
        <v>26</v>
      </c>
      <c r="AC22" s="5">
        <f t="shared" ref="AC22" si="39">AB22+1</f>
        <v>27</v>
      </c>
      <c r="AD22" s="5">
        <f t="shared" ref="AD22" si="40">AC22+1</f>
        <v>28</v>
      </c>
      <c r="AE22" s="5">
        <f t="shared" ref="AE22" si="41">AD22+1</f>
        <v>29</v>
      </c>
      <c r="AF22" s="5">
        <f t="shared" ref="AF22" si="42">AE22+1</f>
        <v>30</v>
      </c>
      <c r="AG22" s="5">
        <f t="shared" ref="AG22" si="43">AF22+1</f>
        <v>31</v>
      </c>
      <c r="AK22" s="129">
        <f>3506</f>
        <v>3506</v>
      </c>
      <c r="AL22" s="129">
        <f>2828*Spouse</f>
        <v>0</v>
      </c>
      <c r="AM22" s="194">
        <f>MIN(IF(Children="",0,Children),AG22)*524</f>
        <v>0</v>
      </c>
      <c r="AN22" s="140">
        <f t="shared" si="11"/>
        <v>3506</v>
      </c>
    </row>
    <row r="23" spans="1:42">
      <c r="AL23" s="133" t="s">
        <v>96</v>
      </c>
      <c r="AM23" s="133" t="s">
        <v>87</v>
      </c>
      <c r="AN23" s="133" t="s">
        <v>88</v>
      </c>
      <c r="AO23" s="133" t="s">
        <v>89</v>
      </c>
      <c r="AP23" s="134" t="s">
        <v>97</v>
      </c>
    </row>
    <row r="24" spans="1:42">
      <c r="AL24" s="135"/>
      <c r="AM24" s="136"/>
      <c r="AN24" s="136"/>
      <c r="AO24" s="136"/>
      <c r="AP24" s="137">
        <v>0</v>
      </c>
    </row>
    <row r="25" spans="1:42">
      <c r="AL25" s="135"/>
      <c r="AM25" s="136"/>
      <c r="AN25" s="136"/>
      <c r="AO25" s="136"/>
      <c r="AP25" s="137">
        <v>0</v>
      </c>
    </row>
    <row r="26" spans="1:42" ht="12">
      <c r="AL26" s="138" t="s">
        <v>98</v>
      </c>
      <c r="AM26" s="138"/>
      <c r="AN26" s="138"/>
      <c r="AO26" s="138"/>
      <c r="AP26" s="139">
        <v>0</v>
      </c>
    </row>
    <row r="27" spans="1:42">
      <c r="A27" s="19"/>
    </row>
    <row r="28" spans="1:42">
      <c r="A28" s="19"/>
    </row>
  </sheetData>
  <mergeCells count="9">
    <mergeCell ref="AG2:AG3"/>
    <mergeCell ref="AL2:AN2"/>
    <mergeCell ref="AP2:AR2"/>
    <mergeCell ref="D2:F2"/>
    <mergeCell ref="G2:I2"/>
    <mergeCell ref="J2:L2"/>
    <mergeCell ref="M2:O2"/>
    <mergeCell ref="X2:Z2"/>
    <mergeCell ref="AC2:AE2"/>
  </mergeCells>
  <phoneticPr fontId="5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"/>
  <sheetViews>
    <sheetView topLeftCell="A4" workbookViewId="0">
      <selection activeCell="B25" sqref="B25"/>
    </sheetView>
  </sheetViews>
  <sheetFormatPr defaultRowHeight="13.2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rea xmlns="e520036b-e664-4510-a59b-3e2096e9a599">Health Extranets</Area>
    <MyAPILink xmlns="e520036b-e664-4510-a59b-3e2096e9a599">
      <Url>https://myapi.alexanderforbes.co.za/content/download/investmentsmedia/web?path=2026 Bestmed Contribution Calculator Draft v4.0 Sappi.xlsx</Url>
      <Description>https://myapi.alexanderforbes.co.za/content/download/investmentsmedia/web?path=2026 Bestmed Contribution Calculator Draft v4.0 Sappi.xlsx</Description>
    </MyAPILink>
    <Web_MyAPILinks xmlns="e520036b-e664-4510-a59b-3e2096e9a599">
      <Url xsi:nil="true"/>
      <Description xsi:nil="true"/>
    </Web_MyAPILink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084E872B76FC45B0FC404ADAC361DA" ma:contentTypeVersion="4" ma:contentTypeDescription="Create a new document." ma:contentTypeScope="" ma:versionID="45601a7361beba87e52300efe24d9f7b">
  <xsd:schema xmlns:xsd="http://www.w3.org/2001/XMLSchema" xmlns:xs="http://www.w3.org/2001/XMLSchema" xmlns:p="http://schemas.microsoft.com/office/2006/metadata/properties" xmlns:ns2="e520036b-e664-4510-a59b-3e2096e9a599" xmlns:ns3="ac97bf6f-5856-495f-b9d6-8c5d8dcbe7b7" targetNamespace="http://schemas.microsoft.com/office/2006/metadata/properties" ma:root="true" ma:fieldsID="c2d12b04cc492dcee8067cfdb9ffc2d2" ns2:_="" ns3:_="">
    <xsd:import namespace="e520036b-e664-4510-a59b-3e2096e9a599"/>
    <xsd:import namespace="ac97bf6f-5856-495f-b9d6-8c5d8dcbe7b7"/>
    <xsd:element name="properties">
      <xsd:complexType>
        <xsd:sequence>
          <xsd:element name="documentManagement">
            <xsd:complexType>
              <xsd:all>
                <xsd:element ref="ns2:MyAPILink" minOccurs="0"/>
                <xsd:element ref="ns2:Web_MyAPILinks" minOccurs="0"/>
                <xsd:element ref="ns2:Area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20036b-e664-4510-a59b-3e2096e9a599" elementFormDefault="qualified">
    <xsd:import namespace="http://schemas.microsoft.com/office/2006/documentManagement/types"/>
    <xsd:import namespace="http://schemas.microsoft.com/office/infopath/2007/PartnerControls"/>
    <xsd:element name="MyAPILink" ma:index="8" nillable="true" ma:displayName="MyAPILink" ma:format="Hyperlink" ma:internalName="MyAPI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Web_MyAPILinks" ma:index="9" nillable="true" ma:displayName="Web_MyAPILinks" ma:internalName="Web_MyAPILinks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Area" ma:index="10" nillable="true" ma:displayName="Area" ma:internalName="Area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97bf6f-5856-495f-b9d6-8c5d8dcbe7b7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EEA265-CAC2-4E2C-8E6C-6C2E72848503}">
  <ds:schemaRefs>
    <ds:schemaRef ds:uri="58e47aed-2702-497e-96bb-89e3a3b40da8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schemas.microsoft.com/office/infopath/2007/PartnerControls"/>
    <ds:schemaRef ds:uri="ee994ebe-fb29-4e24-bc34-493bcccf052b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13F8B0A-78C1-4CB7-AE9B-2C4E2050698F}"/>
</file>

<file path=customXml/itemProps3.xml><?xml version="1.0" encoding="utf-8"?>
<ds:datastoreItem xmlns:ds="http://schemas.openxmlformats.org/officeDocument/2006/customXml" ds:itemID="{EB0BE9BD-17BC-4741-A4C7-5AFAF736329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6bbb1b2e-dbcd-473c-9727-43b416b3e65b}" enabled="0" method="" siteId="{6bbb1b2e-dbcd-473c-9727-43b416b3e65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44</vt:i4>
      </vt:variant>
    </vt:vector>
  </HeadingPairs>
  <TitlesOfParts>
    <vt:vector size="49" baseType="lpstr">
      <vt:lpstr>Conts</vt:lpstr>
      <vt:lpstr>Quote</vt:lpstr>
      <vt:lpstr>Calculation Sheet</vt:lpstr>
      <vt:lpstr>Input grid</vt:lpstr>
      <vt:lpstr>Sheet1</vt:lpstr>
      <vt:lpstr>Adults</vt:lpstr>
      <vt:lpstr>AllIncomes</vt:lpstr>
      <vt:lpstr>Beat1Network</vt:lpstr>
      <vt:lpstr>Beat1NonNetwork</vt:lpstr>
      <vt:lpstr>Beat2Network</vt:lpstr>
      <vt:lpstr>Beat2NonNetwork</vt:lpstr>
      <vt:lpstr>Beat3Network</vt:lpstr>
      <vt:lpstr>Beat3NonNetwork</vt:lpstr>
      <vt:lpstr>Beat3Plus</vt:lpstr>
      <vt:lpstr>Beat4NonNetwork</vt:lpstr>
      <vt:lpstr>Children</vt:lpstr>
      <vt:lpstr>HealthProd</vt:lpstr>
      <vt:lpstr>LifeProd</vt:lpstr>
      <vt:lpstr>MonthlyIncome</vt:lpstr>
      <vt:lpstr>Option</vt:lpstr>
      <vt:lpstr>Option06</vt:lpstr>
      <vt:lpstr>Pace1</vt:lpstr>
      <vt:lpstr>Pace2</vt:lpstr>
      <vt:lpstr>Pace3</vt:lpstr>
      <vt:lpstr>Pace4</vt:lpstr>
      <vt:lpstr>Primary</vt:lpstr>
      <vt:lpstr>'Calculation Sheet'!Print_Area</vt:lpstr>
      <vt:lpstr>Pulse1</vt:lpstr>
      <vt:lpstr>Pulse2</vt:lpstr>
      <vt:lpstr>RealityClub</vt:lpstr>
      <vt:lpstr>RealityCore</vt:lpstr>
      <vt:lpstr>RealityHealth</vt:lpstr>
      <vt:lpstr>Rhythm1</vt:lpstr>
      <vt:lpstr>Rhythm2</vt:lpstr>
      <vt:lpstr>Savings1</vt:lpstr>
      <vt:lpstr>Savings2</vt:lpstr>
      <vt:lpstr>Savings3</vt:lpstr>
      <vt:lpstr>Savings4</vt:lpstr>
      <vt:lpstr>SmartPlan</vt:lpstr>
      <vt:lpstr>Spouse</vt:lpstr>
      <vt:lpstr>Standard</vt:lpstr>
      <vt:lpstr>StandardSelect</vt:lpstr>
      <vt:lpstr>Threshold</vt:lpstr>
      <vt:lpstr>Threshold_Exec</vt:lpstr>
      <vt:lpstr>Threshold_P</vt:lpstr>
      <vt:lpstr>Threshold_P_ATB</vt:lpstr>
      <vt:lpstr>TotalCore</vt:lpstr>
      <vt:lpstr>Vitality</vt:lpstr>
      <vt:lpstr>Vitality_KeyClub</vt:lpstr>
    </vt:vector>
  </TitlesOfParts>
  <Company>Forbes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2026 Bestmed Contribution Calculator Draft v4.0 Sappi.xlsx</dc:title>
  <dc:creator>Franciska Claassen</dc:creator>
  <cp:lastModifiedBy>Pam Ponelis</cp:lastModifiedBy>
  <cp:lastPrinted>2004-10-14T09:11:55Z</cp:lastPrinted>
  <dcterms:created xsi:type="dcterms:W3CDTF">2001-07-12T10:16:02Z</dcterms:created>
  <dcterms:modified xsi:type="dcterms:W3CDTF">2025-11-21T08:55:00Z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0x01010091084E872B76FC45B0FC404ADAC361DA</vt:lpwstr>
  </property>
  <property fmtid="{D5CDD505-2E9C-101B-9397-08002B2CF9AE}" pid="3" name="MediaServiceImageTags">
    <vt:lpwstr/>
  </property>
</Properties>
</file>